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tabRatio="748" activeTab="1"/>
  </bookViews>
  <sheets>
    <sheet name="MEMÓRIA" sheetId="1" r:id="rId1"/>
    <sheet name="ORÇAMENTO" sheetId="2" r:id="rId2"/>
    <sheet name="CRONO" sheetId="3" r:id="rId3"/>
    <sheet name="composições" sheetId="6" r:id="rId4"/>
    <sheet name="BDI" sheetId="4" r:id="rId5"/>
    <sheet name="QUADRO DE ÁREAS" sheetId="5" r:id="rId6"/>
    <sheet name="aux." sheetId="7" r:id="rId7"/>
  </sheets>
  <definedNames>
    <definedName name="_xlnm.Print_Titles" localSheetId="2">CRONO!$10:$11</definedName>
    <definedName name="_xlnm.Print_Titles" localSheetId="0">MEMÓRIA!$12:$12</definedName>
    <definedName name="_xlnm.Print_Titles" localSheetId="1">ORÇAMENTO!$13:$14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7" i="1" l="1"/>
  <c r="C42" i="3"/>
  <c r="G323" i="2"/>
  <c r="G315" i="2"/>
  <c r="G309" i="2"/>
  <c r="E307" i="2"/>
  <c r="E308" i="2"/>
  <c r="E309" i="2"/>
  <c r="E310" i="2"/>
  <c r="E311" i="2"/>
  <c r="E313" i="2"/>
  <c r="E314" i="2"/>
  <c r="E315" i="2"/>
  <c r="E316" i="2"/>
  <c r="E317" i="2"/>
  <c r="E318" i="2"/>
  <c r="E319" i="2"/>
  <c r="E320" i="2"/>
  <c r="E321" i="2"/>
  <c r="E323" i="2"/>
  <c r="E324" i="2"/>
  <c r="E325" i="2"/>
  <c r="E326" i="2"/>
  <c r="E329" i="2"/>
  <c r="E330" i="2"/>
  <c r="E331" i="2"/>
  <c r="E324" i="1"/>
  <c r="E323" i="1"/>
  <c r="E322" i="1"/>
  <c r="E321" i="1"/>
  <c r="I321" i="1"/>
  <c r="E319" i="1"/>
  <c r="E318" i="1"/>
  <c r="E317" i="1"/>
  <c r="C50" i="7"/>
  <c r="C49" i="7"/>
  <c r="C48" i="7"/>
  <c r="C47" i="7"/>
  <c r="E315" i="1"/>
  <c r="E314" i="1"/>
  <c r="E313" i="1"/>
  <c r="C44" i="7"/>
  <c r="C43" i="7"/>
  <c r="C42" i="7"/>
  <c r="C41" i="7"/>
  <c r="C40" i="7"/>
  <c r="E312" i="1"/>
  <c r="E311" i="1"/>
  <c r="I313" i="1"/>
  <c r="E309" i="1"/>
  <c r="E308" i="1"/>
  <c r="E307" i="1"/>
  <c r="E306" i="1"/>
  <c r="E305" i="1"/>
  <c r="I307" i="1"/>
  <c r="E248" i="1" l="1"/>
  <c r="E246" i="1"/>
  <c r="E244" i="1"/>
  <c r="E283" i="2"/>
  <c r="E289" i="2"/>
  <c r="G283" i="2"/>
  <c r="E286" i="1"/>
  <c r="E288" i="2" s="1"/>
  <c r="E285" i="1"/>
  <c r="E287" i="2" s="1"/>
  <c r="E283" i="1"/>
  <c r="E285" i="2" s="1"/>
  <c r="E284" i="1"/>
  <c r="E286" i="2" s="1"/>
  <c r="E282" i="1"/>
  <c r="E284" i="2" s="1"/>
  <c r="I281" i="1"/>
  <c r="E281" i="1"/>
  <c r="E280" i="1"/>
  <c r="E282" i="2" s="1"/>
  <c r="E254" i="1"/>
  <c r="E256" i="2" s="1"/>
  <c r="C19" i="7"/>
  <c r="C18" i="7"/>
  <c r="C17" i="7"/>
  <c r="C16" i="7"/>
  <c r="C15" i="7"/>
  <c r="C14" i="7"/>
  <c r="C13" i="7"/>
  <c r="C12" i="7"/>
  <c r="C11" i="7"/>
  <c r="E250" i="1" l="1"/>
  <c r="E252" i="2" s="1"/>
  <c r="E238" i="1"/>
  <c r="E57" i="2"/>
  <c r="G45" i="2"/>
  <c r="F20" i="6"/>
  <c r="H20" i="6" s="1"/>
  <c r="H36" i="6"/>
  <c r="F31" i="6"/>
  <c r="F29" i="6"/>
  <c r="H29" i="6" s="1"/>
  <c r="G33" i="6"/>
  <c r="G32" i="6"/>
  <c r="H32" i="6" s="1"/>
  <c r="H35" i="6"/>
  <c r="H34" i="6"/>
  <c r="H33" i="6"/>
  <c r="H31" i="6"/>
  <c r="H30" i="6"/>
  <c r="G24" i="6"/>
  <c r="H24" i="6" s="1"/>
  <c r="G23" i="6"/>
  <c r="H23" i="6" s="1"/>
  <c r="H21" i="6"/>
  <c r="H22" i="6"/>
  <c r="H25" i="6"/>
  <c r="H26" i="6"/>
  <c r="E22" i="1"/>
  <c r="J106" i="1"/>
  <c r="J105" i="1"/>
  <c r="E139" i="1"/>
  <c r="E297" i="1"/>
  <c r="E295" i="1"/>
  <c r="E124" i="1"/>
  <c r="E119" i="2"/>
  <c r="E116" i="1"/>
  <c r="E118" i="2" s="1"/>
  <c r="E150" i="1"/>
  <c r="I43" i="1" l="1"/>
  <c r="H27" i="6"/>
  <c r="G41" i="6"/>
  <c r="G45" i="6" s="1"/>
  <c r="G40" i="6"/>
  <c r="E131" i="1"/>
  <c r="E300" i="1"/>
  <c r="E302" i="2" s="1"/>
  <c r="E299" i="1"/>
  <c r="E301" i="2" s="1"/>
  <c r="E299" i="2"/>
  <c r="E296" i="1"/>
  <c r="E298" i="2" s="1"/>
  <c r="E297" i="2"/>
  <c r="E294" i="1"/>
  <c r="E296" i="2" s="1"/>
  <c r="E293" i="1"/>
  <c r="E295" i="2" s="1"/>
  <c r="E290" i="1"/>
  <c r="E292" i="2" s="1"/>
  <c r="E292" i="1"/>
  <c r="E294" i="2" s="1"/>
  <c r="E291" i="1"/>
  <c r="E293" i="2" s="1"/>
  <c r="E138" i="1"/>
  <c r="E141" i="1"/>
  <c r="E140" i="1"/>
  <c r="E142" i="2" s="1"/>
  <c r="H12" i="5"/>
  <c r="E251" i="1"/>
  <c r="E253" i="2" s="1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E19" i="2"/>
  <c r="E20" i="2"/>
  <c r="E21" i="2"/>
  <c r="E28" i="2"/>
  <c r="E30" i="2"/>
  <c r="E50" i="2"/>
  <c r="E51" i="2"/>
  <c r="E52" i="2"/>
  <c r="E53" i="2"/>
  <c r="E54" i="2"/>
  <c r="E56" i="2"/>
  <c r="E58" i="2"/>
  <c r="E68" i="2"/>
  <c r="E69" i="2"/>
  <c r="E75" i="2"/>
  <c r="E76" i="2"/>
  <c r="E77" i="2"/>
  <c r="E78" i="2"/>
  <c r="E79" i="2"/>
  <c r="E80" i="2"/>
  <c r="E82" i="2"/>
  <c r="E83" i="2"/>
  <c r="E84" i="2"/>
  <c r="E85" i="2"/>
  <c r="E94" i="2"/>
  <c r="E95" i="2"/>
  <c r="E97" i="2"/>
  <c r="E98" i="2"/>
  <c r="E99" i="2"/>
  <c r="E100" i="2"/>
  <c r="E101" i="2"/>
  <c r="E102" i="2"/>
  <c r="E103" i="2"/>
  <c r="E104" i="2"/>
  <c r="E105" i="2"/>
  <c r="E107" i="2"/>
  <c r="E108" i="2"/>
  <c r="E109" i="2"/>
  <c r="E110" i="2"/>
  <c r="E111" i="2"/>
  <c r="E112" i="2"/>
  <c r="E114" i="2"/>
  <c r="E117" i="2"/>
  <c r="E126" i="2"/>
  <c r="E127" i="2"/>
  <c r="E129" i="2"/>
  <c r="E131" i="2"/>
  <c r="E132" i="2"/>
  <c r="E134" i="2"/>
  <c r="E137" i="2"/>
  <c r="E149" i="2"/>
  <c r="E152" i="2"/>
  <c r="E155" i="2"/>
  <c r="E156" i="2"/>
  <c r="E157" i="2"/>
  <c r="E158" i="2"/>
  <c r="E159" i="2"/>
  <c r="E161" i="2"/>
  <c r="E162" i="2"/>
  <c r="E163" i="2"/>
  <c r="E164" i="2"/>
  <c r="E165" i="2"/>
  <c r="E166" i="2"/>
  <c r="E167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4" i="2"/>
  <c r="E195" i="2"/>
  <c r="E197" i="2"/>
  <c r="E199" i="2"/>
  <c r="E201" i="2"/>
  <c r="E202" i="2"/>
  <c r="E204" i="2"/>
  <c r="E205" i="2"/>
  <c r="E206" i="2"/>
  <c r="E207" i="2"/>
  <c r="E208" i="2"/>
  <c r="E209" i="2"/>
  <c r="E210" i="2"/>
  <c r="E212" i="2"/>
  <c r="E225" i="2"/>
  <c r="E226" i="2"/>
  <c r="E228" i="2"/>
  <c r="E229" i="2"/>
  <c r="E235" i="2"/>
  <c r="E236" i="2"/>
  <c r="E238" i="2"/>
  <c r="E239" i="2"/>
  <c r="E240" i="2"/>
  <c r="E241" i="2"/>
  <c r="E242" i="2"/>
  <c r="E243" i="2"/>
  <c r="E244" i="2"/>
  <c r="E257" i="2"/>
  <c r="E259" i="2"/>
  <c r="E260" i="2"/>
  <c r="E261" i="2"/>
  <c r="E263" i="2"/>
  <c r="E264" i="2"/>
  <c r="E265" i="2"/>
  <c r="E266" i="2"/>
  <c r="E268" i="2"/>
  <c r="E269" i="2"/>
  <c r="E270" i="2"/>
  <c r="E271" i="2"/>
  <c r="E272" i="2"/>
  <c r="E273" i="2"/>
  <c r="E274" i="2"/>
  <c r="E275" i="2"/>
  <c r="E276" i="2"/>
  <c r="E277" i="2"/>
  <c r="E278" i="2"/>
  <c r="E301" i="1"/>
  <c r="E303" i="2" s="1"/>
  <c r="E300" i="2"/>
  <c r="G39" i="2" l="1"/>
  <c r="I37" i="1"/>
  <c r="E265" i="1"/>
  <c r="E267" i="2" s="1"/>
  <c r="E260" i="1"/>
  <c r="E262" i="2" s="1"/>
  <c r="E253" i="1"/>
  <c r="E255" i="2" s="1"/>
  <c r="H46" i="6"/>
  <c r="E133" i="2"/>
  <c r="E249" i="1"/>
  <c r="E251" i="2" s="1"/>
  <c r="E250" i="2"/>
  <c r="E247" i="1"/>
  <c r="E249" i="2" s="1"/>
  <c r="E248" i="2"/>
  <c r="E245" i="1"/>
  <c r="E247" i="2" s="1"/>
  <c r="E246" i="2"/>
  <c r="E114" i="1"/>
  <c r="E116" i="2" s="1"/>
  <c r="E113" i="1"/>
  <c r="E115" i="2" s="1"/>
  <c r="E143" i="1"/>
  <c r="E145" i="2" s="1"/>
  <c r="E141" i="2"/>
  <c r="E148" i="1"/>
  <c r="E150" i="2" s="1"/>
  <c r="E143" i="2"/>
  <c r="C53" i="5"/>
  <c r="E232" i="1"/>
  <c r="E234" i="2" s="1"/>
  <c r="E231" i="1"/>
  <c r="E233" i="2" s="1"/>
  <c r="E230" i="1"/>
  <c r="E232" i="2" s="1"/>
  <c r="E229" i="1"/>
  <c r="E231" i="2" s="1"/>
  <c r="E225" i="1"/>
  <c r="E227" i="2" s="1"/>
  <c r="E217" i="1"/>
  <c r="E219" i="2" s="1"/>
  <c r="E218" i="1"/>
  <c r="E220" i="2" s="1"/>
  <c r="E228" i="1"/>
  <c r="E230" i="2" s="1"/>
  <c r="E222" i="1"/>
  <c r="E224" i="2" s="1"/>
  <c r="E221" i="1"/>
  <c r="E223" i="2" s="1"/>
  <c r="E220" i="1"/>
  <c r="E222" i="2" s="1"/>
  <c r="E219" i="1"/>
  <c r="E221" i="2" s="1"/>
  <c r="E216" i="1"/>
  <c r="E218" i="2" s="1"/>
  <c r="E215" i="1"/>
  <c r="E217" i="2" s="1"/>
  <c r="E214" i="1"/>
  <c r="E216" i="2" s="1"/>
  <c r="E213" i="1"/>
  <c r="E215" i="2" s="1"/>
  <c r="E212" i="1"/>
  <c r="E214" i="2" s="1"/>
  <c r="E209" i="1"/>
  <c r="E211" i="2" s="1"/>
  <c r="E198" i="1"/>
  <c r="E200" i="2" s="1"/>
  <c r="E191" i="1"/>
  <c r="E193" i="2" s="1"/>
  <c r="E201" i="1"/>
  <c r="E203" i="2" s="1"/>
  <c r="E194" i="1"/>
  <c r="E196" i="2" s="1"/>
  <c r="E196" i="1"/>
  <c r="E198" i="2" s="1"/>
  <c r="E142" i="1" l="1"/>
  <c r="E144" i="2" s="1"/>
  <c r="E140" i="2"/>
  <c r="E169" i="1"/>
  <c r="E171" i="2" s="1"/>
  <c r="E168" i="1"/>
  <c r="E170" i="2" s="1"/>
  <c r="E166" i="1"/>
  <c r="E168" i="2" s="1"/>
  <c r="E167" i="1"/>
  <c r="E169" i="2" s="1"/>
  <c r="J164" i="1"/>
  <c r="E152" i="1"/>
  <c r="E154" i="2" s="1"/>
  <c r="E151" i="1"/>
  <c r="E153" i="2" s="1"/>
  <c r="E158" i="1"/>
  <c r="E160" i="2" s="1"/>
  <c r="E146" i="1"/>
  <c r="E148" i="2" s="1"/>
  <c r="E145" i="1"/>
  <c r="E147" i="2" s="1"/>
  <c r="E21" i="1"/>
  <c r="E23" i="2" s="1"/>
  <c r="E62" i="1"/>
  <c r="E64" i="2" s="1"/>
  <c r="E61" i="1"/>
  <c r="E63" i="2" s="1"/>
  <c r="E60" i="1"/>
  <c r="E62" i="2" s="1"/>
  <c r="E59" i="1"/>
  <c r="E61" i="2" s="1"/>
  <c r="C47" i="5"/>
  <c r="C51" i="5"/>
  <c r="E63" i="1" l="1"/>
  <c r="E65" i="2" s="1"/>
  <c r="E136" i="1"/>
  <c r="E138" i="2" s="1"/>
  <c r="E134" i="1"/>
  <c r="E136" i="2" s="1"/>
  <c r="E133" i="1"/>
  <c r="E135" i="2" s="1"/>
  <c r="H40" i="6" l="1"/>
  <c r="H41" i="6"/>
  <c r="H45" i="6"/>
  <c r="H47" i="6" s="1"/>
  <c r="E90" i="1"/>
  <c r="E92" i="2" s="1"/>
  <c r="E89" i="1"/>
  <c r="E91" i="2" s="1"/>
  <c r="E88" i="1"/>
  <c r="E90" i="2" s="1"/>
  <c r="E87" i="1"/>
  <c r="E89" i="2" s="1"/>
  <c r="E86" i="1"/>
  <c r="E88" i="2" s="1"/>
  <c r="E85" i="1"/>
  <c r="E87" i="2" s="1"/>
  <c r="E94" i="1"/>
  <c r="E96" i="2" s="1"/>
  <c r="E79" i="1"/>
  <c r="E81" i="2" s="1"/>
  <c r="E72" i="1"/>
  <c r="E74" i="2" s="1"/>
  <c r="E70" i="1"/>
  <c r="E72" i="2" s="1"/>
  <c r="E71" i="1"/>
  <c r="E73" i="2" s="1"/>
  <c r="E69" i="1"/>
  <c r="E71" i="2" s="1"/>
  <c r="C20" i="4"/>
  <c r="E126" i="1"/>
  <c r="E128" i="2" s="1"/>
  <c r="E24" i="2"/>
  <c r="E121" i="1"/>
  <c r="E123" i="2" s="1"/>
  <c r="E122" i="1"/>
  <c r="E124" i="2" s="1"/>
  <c r="I253" i="1" l="1"/>
  <c r="G255" i="2"/>
  <c r="E65" i="1"/>
  <c r="E67" i="2" s="1"/>
  <c r="E57" i="1"/>
  <c r="E59" i="2" s="1"/>
  <c r="E47" i="1"/>
  <c r="E49" i="2" s="1"/>
  <c r="E46" i="1"/>
  <c r="E48" i="2" s="1"/>
  <c r="E44" i="1"/>
  <c r="E46" i="2" s="1"/>
  <c r="E43" i="1"/>
  <c r="E45" i="2" s="1"/>
  <c r="E41" i="1"/>
  <c r="E43" i="2" s="1"/>
  <c r="E42" i="1"/>
  <c r="E44" i="2" s="1"/>
  <c r="E37" i="1"/>
  <c r="E39" i="2" s="1"/>
  <c r="E38" i="1"/>
  <c r="E40" i="2" s="1"/>
  <c r="E39" i="1"/>
  <c r="E41" i="2" s="1"/>
  <c r="E34" i="1"/>
  <c r="E36" i="2" s="1"/>
  <c r="E33" i="1" l="1"/>
  <c r="E35" i="2" s="1"/>
  <c r="E36" i="1" l="1"/>
  <c r="E38" i="2" s="1"/>
  <c r="E35" i="1"/>
  <c r="E37" i="2" s="1"/>
  <c r="H17" i="6"/>
  <c r="H16" i="6"/>
  <c r="H15" i="6"/>
  <c r="H14" i="6"/>
  <c r="H18" i="6" l="1"/>
  <c r="I36" i="1" s="1"/>
  <c r="E32" i="1"/>
  <c r="E34" i="2" s="1"/>
  <c r="D47" i="5"/>
  <c r="E27" i="1"/>
  <c r="E29" i="2" s="1"/>
  <c r="E25" i="1"/>
  <c r="E24" i="1" s="1"/>
  <c r="E16" i="1"/>
  <c r="E18" i="2" s="1"/>
  <c r="E15" i="1"/>
  <c r="E17" i="2" s="1"/>
  <c r="H42" i="6"/>
  <c r="G38" i="2" l="1"/>
  <c r="G296" i="2"/>
  <c r="I294" i="1"/>
  <c r="E26" i="2"/>
  <c r="E27" i="2"/>
  <c r="C12" i="3"/>
  <c r="H39" i="6"/>
  <c r="H38" i="6"/>
  <c r="H43" i="6" l="1"/>
  <c r="G134" i="2" s="1"/>
  <c r="I132" i="1" l="1"/>
  <c r="K29" i="5"/>
  <c r="F30" i="5"/>
  <c r="F29" i="5"/>
  <c r="F9" i="5"/>
  <c r="F47" i="5" s="1"/>
  <c r="F11" i="5"/>
  <c r="F10" i="5"/>
  <c r="E23" i="1"/>
  <c r="E25" i="2" s="1"/>
  <c r="E20" i="1"/>
  <c r="E22" i="2" s="1"/>
  <c r="D49" i="5"/>
  <c r="C49" i="5"/>
  <c r="J12" i="2" l="1"/>
  <c r="C14" i="4"/>
  <c r="H314" i="2" l="1"/>
  <c r="H318" i="2"/>
  <c r="H326" i="2"/>
  <c r="H325" i="2"/>
  <c r="H315" i="2"/>
  <c r="H319" i="2"/>
  <c r="H323" i="2"/>
  <c r="H321" i="2"/>
  <c r="H329" i="2"/>
  <c r="H316" i="2"/>
  <c r="H320" i="2"/>
  <c r="H324" i="2"/>
  <c r="H317" i="2"/>
  <c r="H307" i="2"/>
  <c r="H313" i="2"/>
  <c r="H308" i="2"/>
  <c r="H310" i="2"/>
  <c r="H331" i="2"/>
  <c r="H311" i="2"/>
  <c r="H330" i="2"/>
  <c r="H309" i="2"/>
  <c r="H252" i="2"/>
  <c r="H256" i="2"/>
  <c r="H118" i="2"/>
  <c r="H57" i="2"/>
  <c r="J57" i="2" s="1"/>
  <c r="H253" i="2"/>
  <c r="H107" i="2"/>
  <c r="H114" i="2"/>
  <c r="H116" i="2"/>
  <c r="H119" i="2"/>
  <c r="H124" i="2"/>
  <c r="H132" i="2"/>
  <c r="H138" i="2"/>
  <c r="H142" i="2"/>
  <c r="H145" i="2"/>
  <c r="H150" i="2"/>
  <c r="H155" i="2"/>
  <c r="H158" i="2"/>
  <c r="H160" i="2"/>
  <c r="H164" i="2"/>
  <c r="H166" i="2"/>
  <c r="H169" i="2"/>
  <c r="H194" i="2"/>
  <c r="H196" i="2"/>
  <c r="H199" i="2"/>
  <c r="H201" i="2"/>
  <c r="H18" i="2"/>
  <c r="J18" i="2" s="1"/>
  <c r="H20" i="2"/>
  <c r="J20" i="2" s="1"/>
  <c r="H21" i="2"/>
  <c r="J21" i="2" s="1"/>
  <c r="H23" i="2"/>
  <c r="J23" i="2" s="1"/>
  <c r="H25" i="2"/>
  <c r="J25" i="2" s="1"/>
  <c r="H27" i="2"/>
  <c r="J27" i="2" s="1"/>
  <c r="H29" i="2"/>
  <c r="J29" i="2" s="1"/>
  <c r="H34" i="2"/>
  <c r="J34" i="2" s="1"/>
  <c r="H36" i="2"/>
  <c r="J36" i="2" s="1"/>
  <c r="H40" i="2"/>
  <c r="J40" i="2" s="1"/>
  <c r="H43" i="2"/>
  <c r="J43" i="2" s="1"/>
  <c r="H45" i="2"/>
  <c r="J45" i="2" s="1"/>
  <c r="H48" i="2"/>
  <c r="J48" i="2" s="1"/>
  <c r="H50" i="2"/>
  <c r="J50" i="2" s="1"/>
  <c r="H52" i="2"/>
  <c r="J52" i="2" s="1"/>
  <c r="H54" i="2"/>
  <c r="J54" i="2" s="1"/>
  <c r="H58" i="2"/>
  <c r="J58" i="2" s="1"/>
  <c r="H61" i="2"/>
  <c r="J61" i="2" s="1"/>
  <c r="H63" i="2"/>
  <c r="J63" i="2" s="1"/>
  <c r="H65" i="2"/>
  <c r="J65" i="2" s="1"/>
  <c r="H68" i="2"/>
  <c r="J68" i="2" s="1"/>
  <c r="H71" i="2"/>
  <c r="J71" i="2" s="1"/>
  <c r="H73" i="2"/>
  <c r="J73" i="2" s="1"/>
  <c r="H75" i="2"/>
  <c r="J75" i="2" s="1"/>
  <c r="H77" i="2"/>
  <c r="J77" i="2" s="1"/>
  <c r="H79" i="2"/>
  <c r="J79" i="2" s="1"/>
  <c r="H81" i="2"/>
  <c r="J81" i="2" s="1"/>
  <c r="H83" i="2"/>
  <c r="J83" i="2" s="1"/>
  <c r="H85" i="2"/>
  <c r="J85" i="2" s="1"/>
  <c r="H88" i="2"/>
  <c r="H90" i="2"/>
  <c r="J90" i="2" s="1"/>
  <c r="H92" i="2"/>
  <c r="H95" i="2"/>
  <c r="H97" i="2"/>
  <c r="H99" i="2"/>
  <c r="H102" i="2"/>
  <c r="H105" i="2"/>
  <c r="H110" i="2"/>
  <c r="H127" i="2"/>
  <c r="H129" i="2"/>
  <c r="H131" i="2"/>
  <c r="H135" i="2"/>
  <c r="H137" i="2"/>
  <c r="H143" i="2"/>
  <c r="H147" i="2"/>
  <c r="H152" i="2"/>
  <c r="H156" i="2"/>
  <c r="H162" i="2"/>
  <c r="H170" i="2"/>
  <c r="H173" i="2"/>
  <c r="H175" i="2"/>
  <c r="H177" i="2"/>
  <c r="H179" i="2"/>
  <c r="H181" i="2"/>
  <c r="H183" i="2"/>
  <c r="H185" i="2"/>
  <c r="H187" i="2"/>
  <c r="H189" i="2"/>
  <c r="H191" i="2"/>
  <c r="H197" i="2"/>
  <c r="H101" i="2"/>
  <c r="H104" i="2"/>
  <c r="H109" i="2"/>
  <c r="H112" i="2"/>
  <c r="H115" i="2"/>
  <c r="H117" i="2"/>
  <c r="H123" i="2"/>
  <c r="H126" i="2"/>
  <c r="H140" i="2"/>
  <c r="H148" i="2"/>
  <c r="H153" i="2"/>
  <c r="H157" i="2"/>
  <c r="H159" i="2"/>
  <c r="H165" i="2"/>
  <c r="H167" i="2"/>
  <c r="H171" i="2"/>
  <c r="H195" i="2"/>
  <c r="H200" i="2"/>
  <c r="H202" i="2"/>
  <c r="H17" i="2"/>
  <c r="J17" i="2" s="1"/>
  <c r="H19" i="2"/>
  <c r="J19" i="2" s="1"/>
  <c r="H22" i="2"/>
  <c r="J22" i="2" s="1"/>
  <c r="H24" i="2"/>
  <c r="J24" i="2" s="1"/>
  <c r="H26" i="2"/>
  <c r="J26" i="2" s="1"/>
  <c r="H28" i="2"/>
  <c r="J28" i="2" s="1"/>
  <c r="H30" i="2"/>
  <c r="J30" i="2" s="1"/>
  <c r="H35" i="2"/>
  <c r="J35" i="2" s="1"/>
  <c r="H37" i="2"/>
  <c r="J37" i="2" s="1"/>
  <c r="H39" i="2"/>
  <c r="J39" i="2" s="1"/>
  <c r="H41" i="2"/>
  <c r="J41" i="2" s="1"/>
  <c r="H44" i="2"/>
  <c r="J44" i="2" s="1"/>
  <c r="H46" i="2"/>
  <c r="J46" i="2" s="1"/>
  <c r="H49" i="2"/>
  <c r="J49" i="2" s="1"/>
  <c r="H51" i="2"/>
  <c r="J51" i="2" s="1"/>
  <c r="H53" i="2"/>
  <c r="J53" i="2" s="1"/>
  <c r="H56" i="2"/>
  <c r="J56" i="2" s="1"/>
  <c r="H59" i="2"/>
  <c r="J59" i="2" s="1"/>
  <c r="H62" i="2"/>
  <c r="J62" i="2" s="1"/>
  <c r="H64" i="2"/>
  <c r="J64" i="2" s="1"/>
  <c r="H67" i="2"/>
  <c r="J67" i="2" s="1"/>
  <c r="H69" i="2"/>
  <c r="J69" i="2" s="1"/>
  <c r="H72" i="2"/>
  <c r="J72" i="2" s="1"/>
  <c r="H74" i="2"/>
  <c r="J74" i="2" s="1"/>
  <c r="H76" i="2"/>
  <c r="J76" i="2" s="1"/>
  <c r="H78" i="2"/>
  <c r="J78" i="2" s="1"/>
  <c r="H80" i="2"/>
  <c r="J80" i="2" s="1"/>
  <c r="H82" i="2"/>
  <c r="J82" i="2" s="1"/>
  <c r="H84" i="2"/>
  <c r="H87" i="2"/>
  <c r="J87" i="2" s="1"/>
  <c r="H89" i="2"/>
  <c r="H91" i="2"/>
  <c r="H94" i="2"/>
  <c r="J94" i="2" s="1"/>
  <c r="H96" i="2"/>
  <c r="H98" i="2"/>
  <c r="H100" i="2"/>
  <c r="H103" i="2"/>
  <c r="H108" i="2"/>
  <c r="H111" i="2"/>
  <c r="H128" i="2"/>
  <c r="H133" i="2"/>
  <c r="H136" i="2"/>
  <c r="H141" i="2"/>
  <c r="H144" i="2"/>
  <c r="H149" i="2"/>
  <c r="H154" i="2"/>
  <c r="H161" i="2"/>
  <c r="H163" i="2"/>
  <c r="H168" i="2"/>
  <c r="H172" i="2"/>
  <c r="H174" i="2"/>
  <c r="H176" i="2"/>
  <c r="H178" i="2"/>
  <c r="H180" i="2"/>
  <c r="H182" i="2"/>
  <c r="H184" i="2"/>
  <c r="H186" i="2"/>
  <c r="H188" i="2"/>
  <c r="H190" i="2"/>
  <c r="H193" i="2"/>
  <c r="H198" i="2"/>
  <c r="H203" i="2"/>
  <c r="H205" i="2"/>
  <c r="H207" i="2"/>
  <c r="H209" i="2"/>
  <c r="H211" i="2"/>
  <c r="H214" i="2"/>
  <c r="H216" i="2"/>
  <c r="H218" i="2"/>
  <c r="H220" i="2"/>
  <c r="H222" i="2"/>
  <c r="H224" i="2"/>
  <c r="H226" i="2"/>
  <c r="H228" i="2"/>
  <c r="H230" i="2"/>
  <c r="H232" i="2"/>
  <c r="H234" i="2"/>
  <c r="H236" i="2"/>
  <c r="H239" i="2"/>
  <c r="H241" i="2"/>
  <c r="H243" i="2"/>
  <c r="H292" i="2"/>
  <c r="H300" i="2"/>
  <c r="H204" i="2"/>
  <c r="H206" i="2"/>
  <c r="H208" i="2"/>
  <c r="H210" i="2"/>
  <c r="H212" i="2"/>
  <c r="H215" i="2"/>
  <c r="H217" i="2"/>
  <c r="H219" i="2"/>
  <c r="H221" i="2"/>
  <c r="H223" i="2"/>
  <c r="H225" i="2"/>
  <c r="H227" i="2"/>
  <c r="H229" i="2"/>
  <c r="H231" i="2"/>
  <c r="H233" i="2"/>
  <c r="H235" i="2"/>
  <c r="H238" i="2"/>
  <c r="H240" i="2"/>
  <c r="H242" i="2"/>
  <c r="H244" i="2"/>
  <c r="H247" i="2"/>
  <c r="H249" i="2"/>
  <c r="H251" i="2"/>
  <c r="H257" i="2"/>
  <c r="H260" i="2"/>
  <c r="H262" i="2"/>
  <c r="H264" i="2"/>
  <c r="H266" i="2"/>
  <c r="H268" i="2"/>
  <c r="H270" i="2"/>
  <c r="H272" i="2"/>
  <c r="H274" i="2"/>
  <c r="H276" i="2"/>
  <c r="H278" i="2"/>
  <c r="H283" i="2"/>
  <c r="H285" i="2"/>
  <c r="H287" i="2"/>
  <c r="H289" i="2"/>
  <c r="H293" i="2"/>
  <c r="H297" i="2"/>
  <c r="H301" i="2"/>
  <c r="H248" i="2"/>
  <c r="H261" i="2"/>
  <c r="H269" i="2"/>
  <c r="H277" i="2"/>
  <c r="H284" i="2"/>
  <c r="H288" i="2"/>
  <c r="H299" i="2"/>
  <c r="H250" i="2"/>
  <c r="H263" i="2"/>
  <c r="H271" i="2"/>
  <c r="H294" i="2"/>
  <c r="H302" i="2"/>
  <c r="H255" i="2"/>
  <c r="H265" i="2"/>
  <c r="H273" i="2"/>
  <c r="H282" i="2"/>
  <c r="H286" i="2"/>
  <c r="H295" i="2"/>
  <c r="H303" i="2"/>
  <c r="H246" i="2"/>
  <c r="H259" i="2"/>
  <c r="H267" i="2"/>
  <c r="H275" i="2"/>
  <c r="H298" i="2"/>
  <c r="H296" i="2"/>
  <c r="H134" i="2"/>
  <c r="H38" i="2"/>
  <c r="J38" i="2" s="1"/>
  <c r="H16" i="2"/>
  <c r="B5" i="4"/>
  <c r="J98" i="2" l="1"/>
  <c r="J88" i="2"/>
  <c r="J89" i="2"/>
  <c r="J84" i="2"/>
  <c r="J70" i="2" s="1"/>
  <c r="D20" i="3" s="1"/>
  <c r="J66" i="2"/>
  <c r="D19" i="3" s="1"/>
  <c r="S19" i="3" s="1"/>
  <c r="J55" i="2"/>
  <c r="D17" i="3" s="1"/>
  <c r="O17" i="3" s="1"/>
  <c r="J60" i="2"/>
  <c r="D18" i="3" s="1"/>
  <c r="J47" i="2"/>
  <c r="D16" i="3" s="1"/>
  <c r="J42" i="2"/>
  <c r="D15" i="3" s="1"/>
  <c r="J33" i="2"/>
  <c r="E14" i="1"/>
  <c r="J91" i="2" l="1"/>
  <c r="G19" i="3"/>
  <c r="M19" i="3"/>
  <c r="U19" i="3"/>
  <c r="I19" i="3"/>
  <c r="Q17" i="3"/>
  <c r="G17" i="3"/>
  <c r="I17" i="3"/>
  <c r="M17" i="3"/>
  <c r="K19" i="3"/>
  <c r="Q19" i="3"/>
  <c r="O19" i="3"/>
  <c r="K17" i="3"/>
  <c r="U17" i="3"/>
  <c r="S17" i="3"/>
  <c r="I18" i="3"/>
  <c r="Q18" i="3"/>
  <c r="G18" i="3"/>
  <c r="O18" i="3"/>
  <c r="U18" i="3"/>
  <c r="K18" i="3"/>
  <c r="S18" i="3"/>
  <c r="M18" i="3"/>
  <c r="Q20" i="3"/>
  <c r="U20" i="3"/>
  <c r="K20" i="3"/>
  <c r="G20" i="3"/>
  <c r="S20" i="3"/>
  <c r="O20" i="3"/>
  <c r="M20" i="3"/>
  <c r="I20" i="3"/>
  <c r="D14" i="3"/>
  <c r="S15" i="3"/>
  <c r="I15" i="3"/>
  <c r="G15" i="3"/>
  <c r="K15" i="3"/>
  <c r="M15" i="3"/>
  <c r="U15" i="3"/>
  <c r="Q15" i="3"/>
  <c r="O15" i="3"/>
  <c r="U16" i="3"/>
  <c r="K16" i="3"/>
  <c r="O16" i="3"/>
  <c r="M16" i="3"/>
  <c r="I16" i="3"/>
  <c r="S16" i="3"/>
  <c r="G16" i="3"/>
  <c r="Q16" i="3"/>
  <c r="E16" i="2"/>
  <c r="J16" i="2" s="1"/>
  <c r="J15" i="2" s="1"/>
  <c r="J102" i="2" l="1"/>
  <c r="J92" i="2"/>
  <c r="J86" i="2" s="1"/>
  <c r="D21" i="3" s="1"/>
  <c r="J95" i="2"/>
  <c r="M14" i="3"/>
  <c r="S14" i="3"/>
  <c r="G14" i="3"/>
  <c r="U14" i="3"/>
  <c r="I14" i="3"/>
  <c r="Q14" i="3"/>
  <c r="O14" i="3"/>
  <c r="K14" i="3"/>
  <c r="I21" i="3" l="1"/>
  <c r="O21" i="3"/>
  <c r="S21" i="3"/>
  <c r="Q21" i="3"/>
  <c r="G21" i="3"/>
  <c r="M21" i="3"/>
  <c r="K21" i="3"/>
  <c r="U21" i="3"/>
  <c r="J96" i="2"/>
  <c r="J97" i="2"/>
  <c r="J99" i="2"/>
  <c r="D12" i="3"/>
  <c r="J110" i="2" l="1"/>
  <c r="J100" i="2"/>
  <c r="J103" i="2"/>
  <c r="J101" i="2"/>
  <c r="I12" i="3"/>
  <c r="K12" i="3"/>
  <c r="O12" i="3"/>
  <c r="U12" i="3"/>
  <c r="G12" i="3"/>
  <c r="S12" i="3"/>
  <c r="Q12" i="3"/>
  <c r="M12" i="3"/>
  <c r="J104" i="2" l="1"/>
  <c r="J114" i="2"/>
  <c r="J105" i="2"/>
  <c r="J107" i="2"/>
  <c r="J93" i="2" l="1"/>
  <c r="D22" i="3" s="1"/>
  <c r="U22" i="3" s="1"/>
  <c r="G22" i="3"/>
  <c r="S22" i="3"/>
  <c r="K22" i="3"/>
  <c r="O22" i="3"/>
  <c r="M22" i="3"/>
  <c r="Q22" i="3"/>
  <c r="J118" i="2"/>
  <c r="J109" i="2"/>
  <c r="J111" i="2"/>
  <c r="J108" i="2"/>
  <c r="I22" i="3" l="1"/>
  <c r="J112" i="2"/>
  <c r="J106" i="2" s="1"/>
  <c r="D23" i="3" s="1"/>
  <c r="J115" i="2"/>
  <c r="S23" i="3" l="1"/>
  <c r="M23" i="3"/>
  <c r="Q23" i="3"/>
  <c r="K23" i="3"/>
  <c r="G23" i="3"/>
  <c r="I23" i="3"/>
  <c r="U23" i="3"/>
  <c r="O23" i="3"/>
  <c r="J117" i="2"/>
  <c r="J119" i="2"/>
  <c r="J116" i="2"/>
  <c r="J126" i="2"/>
  <c r="J113" i="2" l="1"/>
  <c r="J32" i="2" s="1"/>
  <c r="D24" i="3"/>
  <c r="J123" i="2"/>
  <c r="M24" i="3" l="1"/>
  <c r="M13" i="3" s="1"/>
  <c r="G24" i="3"/>
  <c r="G13" i="3" s="1"/>
  <c r="O24" i="3"/>
  <c r="O13" i="3" s="1"/>
  <c r="S24" i="3"/>
  <c r="S13" i="3" s="1"/>
  <c r="K24" i="3"/>
  <c r="K13" i="3" s="1"/>
  <c r="U24" i="3"/>
  <c r="U13" i="3" s="1"/>
  <c r="I24" i="3"/>
  <c r="I13" i="3" s="1"/>
  <c r="Q24" i="3"/>
  <c r="Q13" i="3" s="1"/>
  <c r="D13" i="3"/>
  <c r="J124" i="2"/>
  <c r="J122" i="2" s="1"/>
  <c r="J134" i="2"/>
  <c r="J127" i="2"/>
  <c r="J131" i="2" l="1"/>
  <c r="D26" i="3"/>
  <c r="J129" i="2"/>
  <c r="J138" i="2"/>
  <c r="J128" i="2"/>
  <c r="J125" i="2" l="1"/>
  <c r="D27" i="3" s="1"/>
  <c r="K27" i="3" s="1"/>
  <c r="Q27" i="3"/>
  <c r="M27" i="3"/>
  <c r="J135" i="2"/>
  <c r="G26" i="3"/>
  <c r="I26" i="3"/>
  <c r="U26" i="3"/>
  <c r="M26" i="3"/>
  <c r="K26" i="3"/>
  <c r="Q26" i="3"/>
  <c r="S26" i="3"/>
  <c r="O26" i="3"/>
  <c r="J133" i="2"/>
  <c r="J132" i="2"/>
  <c r="J142" i="2"/>
  <c r="U27" i="3" l="1"/>
  <c r="S27" i="3"/>
  <c r="I27" i="3"/>
  <c r="G27" i="3"/>
  <c r="O27" i="3"/>
  <c r="J136" i="2"/>
  <c r="J130" i="2" s="1"/>
  <c r="D28" i="3" s="1"/>
  <c r="J137" i="2"/>
  <c r="J141" i="2" l="1"/>
  <c r="U28" i="3"/>
  <c r="K28" i="3"/>
  <c r="O28" i="3"/>
  <c r="I28" i="3"/>
  <c r="Q28" i="3"/>
  <c r="M28" i="3"/>
  <c r="G28" i="3"/>
  <c r="S28" i="3"/>
  <c r="J143" i="2"/>
  <c r="J140" i="2"/>
  <c r="J150" i="2"/>
  <c r="J154" i="2" l="1"/>
  <c r="J147" i="2"/>
  <c r="J145" i="2"/>
  <c r="J144" i="2"/>
  <c r="J139" i="2" l="1"/>
  <c r="J148" i="2"/>
  <c r="J146" i="2" s="1"/>
  <c r="D30" i="3" s="1"/>
  <c r="D29" i="3"/>
  <c r="J158" i="2"/>
  <c r="J149" i="2"/>
  <c r="J153" i="2" l="1"/>
  <c r="J152" i="2"/>
  <c r="J155" i="2"/>
  <c r="G29" i="3"/>
  <c r="Q29" i="3"/>
  <c r="O29" i="3"/>
  <c r="S29" i="3"/>
  <c r="I29" i="3"/>
  <c r="K29" i="3"/>
  <c r="M29" i="3"/>
  <c r="U29" i="3"/>
  <c r="J162" i="2"/>
  <c r="U30" i="3"/>
  <c r="G30" i="3"/>
  <c r="K30" i="3"/>
  <c r="M30" i="3"/>
  <c r="S30" i="3"/>
  <c r="I30" i="3"/>
  <c r="Q30" i="3"/>
  <c r="O30" i="3"/>
  <c r="J157" i="2" l="1"/>
  <c r="J166" i="2"/>
  <c r="J159" i="2"/>
  <c r="J156" i="2"/>
  <c r="J160" i="2" l="1"/>
  <c r="J170" i="2"/>
  <c r="J163" i="2"/>
  <c r="J161" i="2"/>
  <c r="J174" i="2" l="1"/>
  <c r="J164" i="2"/>
  <c r="J167" i="2"/>
  <c r="J165" i="2"/>
  <c r="J171" i="2" l="1"/>
  <c r="J168" i="2"/>
  <c r="J178" i="2"/>
  <c r="J169" i="2"/>
  <c r="J173" i="2" l="1"/>
  <c r="J175" i="2"/>
  <c r="J182" i="2"/>
  <c r="J172" i="2"/>
  <c r="J179" i="2" l="1"/>
  <c r="J186" i="2"/>
  <c r="J176" i="2"/>
  <c r="J177" i="2"/>
  <c r="J183" i="2" l="1"/>
  <c r="J180" i="2"/>
  <c r="J181" i="2"/>
  <c r="J190" i="2"/>
  <c r="J187" i="2" l="1"/>
  <c r="J184" i="2"/>
  <c r="J194" i="2"/>
  <c r="J185" i="2"/>
  <c r="J191" i="2" l="1"/>
  <c r="J189" i="2"/>
  <c r="J198" i="2"/>
  <c r="J188" i="2"/>
  <c r="J151" i="2" l="1"/>
  <c r="D31" i="3" s="1"/>
  <c r="J202" i="2"/>
  <c r="J193" i="2"/>
  <c r="J195" i="2"/>
  <c r="K31" i="3" l="1"/>
  <c r="S31" i="3"/>
  <c r="U31" i="3"/>
  <c r="G31" i="3"/>
  <c r="M31" i="3"/>
  <c r="Q31" i="3"/>
  <c r="I31" i="3"/>
  <c r="O31" i="3"/>
  <c r="J197" i="2"/>
  <c r="J206" i="2"/>
  <c r="J196" i="2"/>
  <c r="J199" i="2"/>
  <c r="J203" i="2" l="1"/>
  <c r="J210" i="2"/>
  <c r="J201" i="2"/>
  <c r="J200" i="2"/>
  <c r="J214" i="2" l="1"/>
  <c r="J205" i="2"/>
  <c r="J207" i="2"/>
  <c r="J204" i="2"/>
  <c r="J209" i="2" l="1"/>
  <c r="J218" i="2"/>
  <c r="J208" i="2"/>
  <c r="J211" i="2"/>
  <c r="J212" i="2" l="1"/>
  <c r="J192" i="2" s="1"/>
  <c r="D32" i="3" s="1"/>
  <c r="J215" i="2"/>
  <c r="J222" i="2"/>
  <c r="K32" i="3" l="1"/>
  <c r="O32" i="3"/>
  <c r="I32" i="3"/>
  <c r="Q32" i="3"/>
  <c r="G32" i="3"/>
  <c r="U32" i="3"/>
  <c r="M32" i="3"/>
  <c r="S32" i="3"/>
  <c r="J216" i="2"/>
  <c r="J217" i="2"/>
  <c r="J226" i="2"/>
  <c r="J219" i="2"/>
  <c r="J221" i="2" l="1"/>
  <c r="J220" i="2"/>
  <c r="J223" i="2"/>
  <c r="J230" i="2"/>
  <c r="J234" i="2" l="1"/>
  <c r="J225" i="2"/>
  <c r="J227" i="2"/>
  <c r="J224" i="2"/>
  <c r="J228" i="2" l="1"/>
  <c r="J238" i="2"/>
  <c r="J229" i="2"/>
  <c r="J231" i="2"/>
  <c r="J235" i="2" l="1"/>
  <c r="J232" i="2"/>
  <c r="J233" i="2"/>
  <c r="J242" i="2"/>
  <c r="J246" i="2" l="1"/>
  <c r="J239" i="2"/>
  <c r="J236" i="2"/>
  <c r="J213" i="2" s="1"/>
  <c r="D33" i="3" s="1"/>
  <c r="O33" i="3" l="1"/>
  <c r="M33" i="3"/>
  <c r="K33" i="3"/>
  <c r="I33" i="3"/>
  <c r="G33" i="3"/>
  <c r="Q33" i="3"/>
  <c r="U33" i="3"/>
  <c r="S33" i="3"/>
  <c r="J241" i="2"/>
  <c r="J240" i="2"/>
  <c r="J243" i="2"/>
  <c r="J250" i="2"/>
  <c r="J244" i="2" l="1"/>
  <c r="J237" i="2" s="1"/>
  <c r="D34" i="3" s="1"/>
  <c r="J247" i="2"/>
  <c r="K34" i="3" l="1"/>
  <c r="G34" i="3"/>
  <c r="U34" i="3"/>
  <c r="M34" i="3"/>
  <c r="O34" i="3"/>
  <c r="S34" i="3"/>
  <c r="I34" i="3"/>
  <c r="Q34" i="3"/>
  <c r="J249" i="2"/>
  <c r="J251" i="2"/>
  <c r="J248" i="2"/>
  <c r="J255" i="2" l="1"/>
  <c r="J262" i="2"/>
  <c r="J252" i="2"/>
  <c r="J253" i="2"/>
  <c r="J245" i="2" l="1"/>
  <c r="D35" i="3" s="1"/>
  <c r="S35" i="3" s="1"/>
  <c r="Q35" i="3"/>
  <c r="K35" i="3"/>
  <c r="U35" i="3"/>
  <c r="G35" i="3"/>
  <c r="O35" i="3"/>
  <c r="I35" i="3"/>
  <c r="J259" i="2"/>
  <c r="J256" i="2"/>
  <c r="J257" i="2"/>
  <c r="J266" i="2"/>
  <c r="M35" i="3" l="1"/>
  <c r="J254" i="2"/>
  <c r="D36" i="3" s="1"/>
  <c r="J260" i="2"/>
  <c r="J261" i="2"/>
  <c r="J270" i="2"/>
  <c r="J263" i="2"/>
  <c r="J274" i="2" l="1"/>
  <c r="G36" i="3"/>
  <c r="Q36" i="3"/>
  <c r="U36" i="3"/>
  <c r="M36" i="3"/>
  <c r="S36" i="3"/>
  <c r="O36" i="3"/>
  <c r="I36" i="3"/>
  <c r="K36" i="3"/>
  <c r="J267" i="2"/>
  <c r="J265" i="2"/>
  <c r="J264" i="2"/>
  <c r="J278" i="2" l="1"/>
  <c r="J269" i="2"/>
  <c r="J268" i="2"/>
  <c r="J271" i="2"/>
  <c r="J273" i="2" l="1"/>
  <c r="J272" i="2"/>
  <c r="J282" i="2"/>
  <c r="J275" i="2"/>
  <c r="J286" i="2" l="1"/>
  <c r="J276" i="2"/>
  <c r="J277" i="2"/>
  <c r="J258" i="2" l="1"/>
  <c r="D37" i="3" s="1"/>
  <c r="J283" i="2"/>
  <c r="J294" i="2"/>
  <c r="J121" i="2" l="1"/>
  <c r="D25" i="3"/>
  <c r="Q37" i="3"/>
  <c r="Q25" i="3" s="1"/>
  <c r="U37" i="3"/>
  <c r="U25" i="3" s="1"/>
  <c r="S37" i="3"/>
  <c r="S25" i="3" s="1"/>
  <c r="M37" i="3"/>
  <c r="M25" i="3" s="1"/>
  <c r="O37" i="3"/>
  <c r="O25" i="3" s="1"/>
  <c r="I37" i="3"/>
  <c r="I25" i="3" s="1"/>
  <c r="K37" i="3"/>
  <c r="K25" i="3" s="1"/>
  <c r="G37" i="3"/>
  <c r="G25" i="3" s="1"/>
  <c r="J298" i="2"/>
  <c r="J284" i="2"/>
  <c r="J287" i="2"/>
  <c r="J285" i="2"/>
  <c r="J302" i="2" l="1"/>
  <c r="J289" i="2"/>
  <c r="J288" i="2"/>
  <c r="J281" i="2" s="1"/>
  <c r="J280" i="2" l="1"/>
  <c r="D39" i="3"/>
  <c r="J295" i="2"/>
  <c r="J310" i="2"/>
  <c r="J292" i="2"/>
  <c r="J293" i="2"/>
  <c r="U39" i="3" l="1"/>
  <c r="U38" i="3" s="1"/>
  <c r="O39" i="3"/>
  <c r="O38" i="3" s="1"/>
  <c r="Q39" i="3"/>
  <c r="Q38" i="3" s="1"/>
  <c r="M39" i="3"/>
  <c r="M38" i="3" s="1"/>
  <c r="G39" i="3"/>
  <c r="G38" i="3" s="1"/>
  <c r="I39" i="3"/>
  <c r="I38" i="3" s="1"/>
  <c r="S39" i="3"/>
  <c r="S38" i="3" s="1"/>
  <c r="K39" i="3"/>
  <c r="K38" i="3" s="1"/>
  <c r="D38" i="3"/>
  <c r="J296" i="2"/>
  <c r="J299" i="2"/>
  <c r="J314" i="2"/>
  <c r="J297" i="2"/>
  <c r="J301" i="2" l="1"/>
  <c r="J300" i="2"/>
  <c r="J318" i="2"/>
  <c r="J326" i="2"/>
  <c r="J303" i="2"/>
  <c r="J291" i="2" l="1"/>
  <c r="D40" i="3" s="1"/>
  <c r="K40" i="3" s="1"/>
  <c r="J330" i="2"/>
  <c r="I40" i="3"/>
  <c r="M40" i="3"/>
  <c r="S40" i="3"/>
  <c r="J307" i="2"/>
  <c r="J309" i="2"/>
  <c r="G40" i="3" l="1"/>
  <c r="U40" i="3"/>
  <c r="O40" i="3"/>
  <c r="Q40" i="3"/>
  <c r="J311" i="2"/>
  <c r="J306" i="2"/>
  <c r="J313" i="2"/>
  <c r="J308" i="2"/>
  <c r="J316" i="2" l="1"/>
  <c r="J315" i="2"/>
  <c r="J317" i="2"/>
  <c r="J321" i="2" l="1"/>
  <c r="J320" i="2"/>
  <c r="J319" i="2"/>
  <c r="J312" i="2" l="1"/>
  <c r="J324" i="2"/>
  <c r="J323" i="2"/>
  <c r="J331" i="2"/>
  <c r="J325" i="2"/>
  <c r="J329" i="2"/>
  <c r="J328" i="2" l="1"/>
  <c r="D42" i="3" s="1"/>
  <c r="J322" i="2"/>
  <c r="J305" i="2" s="1"/>
  <c r="D41" i="3" l="1"/>
  <c r="J332" i="2"/>
  <c r="S42" i="3"/>
  <c r="Q42" i="3"/>
  <c r="K42" i="3"/>
  <c r="I42" i="3"/>
  <c r="O42" i="3"/>
  <c r="U42" i="3"/>
  <c r="G42" i="3"/>
  <c r="M42" i="3"/>
  <c r="I41" i="3" l="1"/>
  <c r="I43" i="3" s="1"/>
  <c r="Q41" i="3"/>
  <c r="Q43" i="3" s="1"/>
  <c r="K41" i="3"/>
  <c r="K43" i="3" s="1"/>
  <c r="S41" i="3"/>
  <c r="S43" i="3" s="1"/>
  <c r="G41" i="3"/>
  <c r="G43" i="3" s="1"/>
  <c r="U41" i="3"/>
  <c r="U43" i="3" s="1"/>
  <c r="O41" i="3"/>
  <c r="O43" i="3" s="1"/>
  <c r="M41" i="3"/>
  <c r="M43" i="3" s="1"/>
  <c r="D43" i="3"/>
  <c r="K57" i="2"/>
  <c r="K28" i="2"/>
  <c r="K20" i="2"/>
  <c r="K51" i="2"/>
  <c r="K62" i="2"/>
  <c r="K19" i="2"/>
  <c r="K90" i="2"/>
  <c r="K71" i="2"/>
  <c r="K89" i="2"/>
  <c r="K36" i="2"/>
  <c r="K67" i="2"/>
  <c r="K45" i="2"/>
  <c r="K35" i="2"/>
  <c r="K18" i="2"/>
  <c r="K26" i="2"/>
  <c r="K58" i="2"/>
  <c r="K84" i="2"/>
  <c r="K50" i="2"/>
  <c r="K100" i="2"/>
  <c r="K98" i="2"/>
  <c r="K79" i="2"/>
  <c r="K21" i="2"/>
  <c r="K77" i="2"/>
  <c r="K75" i="2"/>
  <c r="K76" i="2"/>
  <c r="K23" i="2"/>
  <c r="K64" i="2"/>
  <c r="K72" i="2"/>
  <c r="K73" i="2"/>
  <c r="K96" i="2"/>
  <c r="K92" i="2"/>
  <c r="K49" i="2"/>
  <c r="K40" i="2"/>
  <c r="K44" i="2"/>
  <c r="K37" i="2"/>
  <c r="K29" i="2"/>
  <c r="K22" i="2"/>
  <c r="K95" i="2"/>
  <c r="K80" i="2"/>
  <c r="K68" i="2"/>
  <c r="K81" i="2"/>
  <c r="K87" i="2"/>
  <c r="K43" i="2"/>
  <c r="K41" i="2"/>
  <c r="K17" i="2"/>
  <c r="K16" i="2"/>
  <c r="K94" i="2"/>
  <c r="K97" i="2"/>
  <c r="K83" i="2"/>
  <c r="K54" i="2"/>
  <c r="K85" i="2"/>
  <c r="K63" i="2"/>
  <c r="K52" i="2"/>
  <c r="K102" i="2"/>
  <c r="K61" i="2"/>
  <c r="K65" i="2"/>
  <c r="K74" i="2"/>
  <c r="K88" i="2"/>
  <c r="K24" i="2"/>
  <c r="K59" i="2"/>
  <c r="K39" i="2"/>
  <c r="K46" i="2"/>
  <c r="K38" i="2"/>
  <c r="K34" i="2"/>
  <c r="K25" i="2"/>
  <c r="K56" i="2"/>
  <c r="K78" i="2"/>
  <c r="K69" i="2"/>
  <c r="K30" i="2"/>
  <c r="K82" i="2"/>
  <c r="K99" i="2"/>
  <c r="K53" i="2"/>
  <c r="K91" i="2"/>
  <c r="K48" i="2"/>
  <c r="K27" i="2"/>
  <c r="K101" i="2"/>
  <c r="K103" i="2"/>
  <c r="K110" i="2"/>
  <c r="K104" i="2"/>
  <c r="K114" i="2"/>
  <c r="K107" i="2"/>
  <c r="K105" i="2"/>
  <c r="K118" i="2"/>
  <c r="K109" i="2"/>
  <c r="K111" i="2"/>
  <c r="K108" i="2"/>
  <c r="K115" i="2"/>
  <c r="K112" i="2"/>
  <c r="K126" i="2"/>
  <c r="K117" i="2"/>
  <c r="K116" i="2"/>
  <c r="K119" i="2"/>
  <c r="K123" i="2"/>
  <c r="K124" i="2"/>
  <c r="K127" i="2"/>
  <c r="K134" i="2"/>
  <c r="K129" i="2"/>
  <c r="K131" i="2"/>
  <c r="K138" i="2"/>
  <c r="K128" i="2"/>
  <c r="K132" i="2"/>
  <c r="K135" i="2"/>
  <c r="K133" i="2"/>
  <c r="K142" i="2"/>
  <c r="K136" i="2"/>
  <c r="K137" i="2"/>
  <c r="K143" i="2"/>
  <c r="K150" i="2"/>
  <c r="K140" i="2"/>
  <c r="K141" i="2"/>
  <c r="K147" i="2"/>
  <c r="K144" i="2"/>
  <c r="K154" i="2"/>
  <c r="K145" i="2"/>
  <c r="K158" i="2"/>
  <c r="K149" i="2"/>
  <c r="K148" i="2"/>
  <c r="K153" i="2"/>
  <c r="K152" i="2"/>
  <c r="K162" i="2"/>
  <c r="K155" i="2"/>
  <c r="K156" i="2"/>
  <c r="K157" i="2"/>
  <c r="K166" i="2"/>
  <c r="K159" i="2"/>
  <c r="K170" i="2"/>
  <c r="K160" i="2"/>
  <c r="K163" i="2"/>
  <c r="K161" i="2"/>
  <c r="K164" i="2"/>
  <c r="K174" i="2"/>
  <c r="K165" i="2"/>
  <c r="K167" i="2"/>
  <c r="K171" i="2"/>
  <c r="K169" i="2"/>
  <c r="K178" i="2"/>
  <c r="K168" i="2"/>
  <c r="K182" i="2"/>
  <c r="K173" i="2"/>
  <c r="K172" i="2"/>
  <c r="K175" i="2"/>
  <c r="K176" i="2"/>
  <c r="K177" i="2"/>
  <c r="K179" i="2"/>
  <c r="K186" i="2"/>
  <c r="K180" i="2"/>
  <c r="K183" i="2"/>
  <c r="K190" i="2"/>
  <c r="K181" i="2"/>
  <c r="K187" i="2"/>
  <c r="K184" i="2"/>
  <c r="K185" i="2"/>
  <c r="K194" i="2"/>
  <c r="K198" i="2"/>
  <c r="K188" i="2"/>
  <c r="K191" i="2"/>
  <c r="K189" i="2"/>
  <c r="K202" i="2"/>
  <c r="K193" i="2"/>
  <c r="K195" i="2"/>
  <c r="K196" i="2"/>
  <c r="K199" i="2"/>
  <c r="K197" i="2"/>
  <c r="K206" i="2"/>
  <c r="K200" i="2"/>
  <c r="K201" i="2"/>
  <c r="K203" i="2"/>
  <c r="K210" i="2"/>
  <c r="K205" i="2"/>
  <c r="K204" i="2"/>
  <c r="K214" i="2"/>
  <c r="K207" i="2"/>
  <c r="K218" i="2"/>
  <c r="K211" i="2"/>
  <c r="K208" i="2"/>
  <c r="K209" i="2"/>
  <c r="K222" i="2"/>
  <c r="K215" i="2"/>
  <c r="K212" i="2"/>
  <c r="K219" i="2"/>
  <c r="K226" i="2"/>
  <c r="K217" i="2"/>
  <c r="K216" i="2"/>
  <c r="K220" i="2"/>
  <c r="K230" i="2"/>
  <c r="K223" i="2"/>
  <c r="K221" i="2"/>
  <c r="K224" i="2"/>
  <c r="K227" i="2"/>
  <c r="K225" i="2"/>
  <c r="K234" i="2"/>
  <c r="K238" i="2"/>
  <c r="K231" i="2"/>
  <c r="K229" i="2"/>
  <c r="K228" i="2"/>
  <c r="K242" i="2"/>
  <c r="K233" i="2"/>
  <c r="K232" i="2"/>
  <c r="K235" i="2"/>
  <c r="K246" i="2"/>
  <c r="K236" i="2"/>
  <c r="K239" i="2"/>
  <c r="K250" i="2"/>
  <c r="K240" i="2"/>
  <c r="K243" i="2"/>
  <c r="K241" i="2"/>
  <c r="K244" i="2"/>
  <c r="K247" i="2"/>
  <c r="K248" i="2"/>
  <c r="K251" i="2"/>
  <c r="K249" i="2"/>
  <c r="K253" i="2"/>
  <c r="K252" i="2"/>
  <c r="K255" i="2"/>
  <c r="K262" i="2"/>
  <c r="K256" i="2"/>
  <c r="K259" i="2"/>
  <c r="K266" i="2"/>
  <c r="K257" i="2"/>
  <c r="K270" i="2"/>
  <c r="K263" i="2"/>
  <c r="K260" i="2"/>
  <c r="K261" i="2"/>
  <c r="K274" i="2"/>
  <c r="K267" i="2"/>
  <c r="K265" i="2"/>
  <c r="K264" i="2"/>
  <c r="K278" i="2"/>
  <c r="K271" i="2"/>
  <c r="K268" i="2"/>
  <c r="K269" i="2"/>
  <c r="K273" i="2"/>
  <c r="K282" i="2"/>
  <c r="K272" i="2"/>
  <c r="K275" i="2"/>
  <c r="K286" i="2"/>
  <c r="K277" i="2"/>
  <c r="K276" i="2"/>
  <c r="K283" i="2"/>
  <c r="K294" i="2"/>
  <c r="K285" i="2"/>
  <c r="K298" i="2"/>
  <c r="K287" i="2"/>
  <c r="K284" i="2"/>
  <c r="K288" i="2"/>
  <c r="K302" i="2"/>
  <c r="K289" i="2"/>
  <c r="K295" i="2"/>
  <c r="K310" i="2"/>
  <c r="K293" i="2"/>
  <c r="K292" i="2"/>
  <c r="K299" i="2"/>
  <c r="K314" i="2"/>
  <c r="K297" i="2"/>
  <c r="K296" i="2"/>
  <c r="K303" i="2"/>
  <c r="K318" i="2"/>
  <c r="K300" i="2"/>
  <c r="K326" i="2"/>
  <c r="K301" i="2"/>
  <c r="K309" i="2"/>
  <c r="K330" i="2"/>
  <c r="K307" i="2"/>
  <c r="K311" i="2"/>
  <c r="K313" i="2"/>
  <c r="K308" i="2"/>
  <c r="K316" i="2"/>
  <c r="K315" i="2"/>
  <c r="K317" i="2"/>
  <c r="K320" i="2"/>
  <c r="K321" i="2"/>
  <c r="K319" i="2"/>
  <c r="K329" i="2"/>
  <c r="K331" i="2"/>
  <c r="K325" i="2"/>
  <c r="K324" i="2"/>
  <c r="K323" i="2"/>
  <c r="K328" i="2" l="1"/>
  <c r="E42" i="3" s="1"/>
  <c r="K122" i="2"/>
  <c r="K33" i="2"/>
  <c r="K245" i="2"/>
  <c r="K70" i="2"/>
  <c r="K192" i="2"/>
  <c r="K151" i="2"/>
  <c r="K146" i="2"/>
  <c r="K60" i="2"/>
  <c r="K93" i="2"/>
  <c r="K42" i="2"/>
  <c r="K66" i="2"/>
  <c r="K254" i="2"/>
  <c r="K130" i="2"/>
  <c r="K47" i="2"/>
  <c r="K55" i="2"/>
  <c r="K15" i="2"/>
  <c r="E12" i="3" s="1"/>
  <c r="K86" i="2"/>
  <c r="K237" i="2"/>
  <c r="K113" i="2"/>
  <c r="K306" i="2"/>
  <c r="K291" i="2"/>
  <c r="E40" i="3" s="1"/>
  <c r="K213" i="2"/>
  <c r="K322" i="2"/>
  <c r="K312" i="2"/>
  <c r="K281" i="2"/>
  <c r="K280" i="2" s="1"/>
  <c r="E38" i="3" s="1"/>
  <c r="K258" i="2"/>
  <c r="K139" i="2"/>
  <c r="K125" i="2"/>
  <c r="K106" i="2"/>
  <c r="E14" i="3"/>
  <c r="D44" i="3"/>
  <c r="E15" i="3"/>
  <c r="E20" i="3"/>
  <c r="E19" i="3"/>
  <c r="E22" i="3"/>
  <c r="E17" i="3"/>
  <c r="E16" i="3"/>
  <c r="E21" i="3"/>
  <c r="E18" i="3"/>
  <c r="E24" i="3"/>
  <c r="E23" i="3"/>
  <c r="E27" i="3"/>
  <c r="E26" i="3"/>
  <c r="E28" i="3"/>
  <c r="E29" i="3"/>
  <c r="E30" i="3"/>
  <c r="E31" i="3"/>
  <c r="E32" i="3"/>
  <c r="E33" i="3"/>
  <c r="E34" i="3"/>
  <c r="E35" i="3"/>
  <c r="E36" i="3"/>
  <c r="E37" i="3"/>
  <c r="E39" i="3"/>
  <c r="H43" i="3"/>
  <c r="R43" i="3"/>
  <c r="N43" i="3"/>
  <c r="J43" i="3"/>
  <c r="F43" i="3"/>
  <c r="F44" i="3" s="1"/>
  <c r="G44" i="3"/>
  <c r="I44" i="3" s="1"/>
  <c r="K44" i="3" s="1"/>
  <c r="M44" i="3" s="1"/>
  <c r="O44" i="3" s="1"/>
  <c r="Q44" i="3" s="1"/>
  <c r="S44" i="3" s="1"/>
  <c r="U44" i="3" s="1"/>
  <c r="L43" i="3"/>
  <c r="T43" i="3"/>
  <c r="P43" i="3"/>
  <c r="K121" i="2" l="1"/>
  <c r="E25" i="3" s="1"/>
  <c r="K32" i="2"/>
  <c r="E13" i="3" s="1"/>
  <c r="K305" i="2"/>
  <c r="E41" i="3" s="1"/>
  <c r="H44" i="3"/>
  <c r="J44" i="3" s="1"/>
  <c r="L44" i="3" s="1"/>
  <c r="N44" i="3" s="1"/>
  <c r="P44" i="3" s="1"/>
  <c r="R44" i="3" s="1"/>
  <c r="T44" i="3" s="1"/>
  <c r="E43" i="3" l="1"/>
  <c r="E44" i="3" s="1"/>
  <c r="K332" i="2"/>
</calcChain>
</file>

<file path=xl/sharedStrings.xml><?xml version="1.0" encoding="utf-8"?>
<sst xmlns="http://schemas.openxmlformats.org/spreadsheetml/2006/main" count="2748" uniqueCount="1021">
  <si>
    <t>MEMÓRIA DE CÁLCULO DOS SERVIÇOS</t>
  </si>
  <si>
    <t>ITEM</t>
  </si>
  <si>
    <t>DISCRIMINAÇÃO DO SERVIÇO</t>
  </si>
  <si>
    <t>CÁLCULO</t>
  </si>
  <si>
    <t>QUANTIDADE</t>
  </si>
  <si>
    <t>UNIDADE</t>
  </si>
  <si>
    <t>SERVIÇOS PRELIMINARES</t>
  </si>
  <si>
    <t>1.1</t>
  </si>
  <si>
    <t>=1,50x2,50=</t>
  </si>
  <si>
    <t>1.2</t>
  </si>
  <si>
    <t>1.3</t>
  </si>
  <si>
    <t>1.4</t>
  </si>
  <si>
    <t>1.5</t>
  </si>
  <si>
    <t>1.6</t>
  </si>
  <si>
    <t>1.7</t>
  </si>
  <si>
    <t>m</t>
  </si>
  <si>
    <t>1.8</t>
  </si>
  <si>
    <t>1.9</t>
  </si>
  <si>
    <t>=4,00=</t>
  </si>
  <si>
    <t>=6,00=</t>
  </si>
  <si>
    <t>COBERTURA</t>
  </si>
  <si>
    <t>2.1</t>
  </si>
  <si>
    <t>2.2</t>
  </si>
  <si>
    <t>ESQUADRIAS</t>
  </si>
  <si>
    <t>=2,00=</t>
  </si>
  <si>
    <t>3.1</t>
  </si>
  <si>
    <t>3.2</t>
  </si>
  <si>
    <t>3.3</t>
  </si>
  <si>
    <t>REVESTIMENTO</t>
  </si>
  <si>
    <t>5.1</t>
  </si>
  <si>
    <t>5.2</t>
  </si>
  <si>
    <t>5.3</t>
  </si>
  <si>
    <t>5.4</t>
  </si>
  <si>
    <t>VEDAÇÕES</t>
  </si>
  <si>
    <t>4.1</t>
  </si>
  <si>
    <t>PAVIMENTAÇÃO</t>
  </si>
  <si>
    <t>INSTALAÇÕES ELÉTRICAS</t>
  </si>
  <si>
    <t>=1,00=</t>
  </si>
  <si>
    <t>PINTURA</t>
  </si>
  <si>
    <t>88489</t>
  </si>
  <si>
    <t>COMPLEMENTOS</t>
  </si>
  <si>
    <t>UNID.</t>
  </si>
  <si>
    <t>QUANTID.</t>
  </si>
  <si>
    <t>PREÇO (R$)</t>
  </si>
  <si>
    <t>UNIT. S/ BDI</t>
  </si>
  <si>
    <t>BDI (25,00%)</t>
  </si>
  <si>
    <t>UNIT. C/ BDI</t>
  </si>
  <si>
    <t>TOTAL</t>
  </si>
  <si>
    <t>%</t>
  </si>
  <si>
    <t>CÓDIGO SINAPI</t>
  </si>
  <si>
    <t>BDI:</t>
  </si>
  <si>
    <t>CÁLCULO DE BDI</t>
  </si>
  <si>
    <t>Construção de Edifícios</t>
  </si>
  <si>
    <t xml:space="preserve">Rodovias e Ferrovias - Infra Urbana, praças, calçadas, etc. </t>
  </si>
  <si>
    <t>Abastecimento de Água, Coleta de Esgoto</t>
  </si>
  <si>
    <t>Fornecimento de materiais e equipamentos</t>
  </si>
  <si>
    <t>Construção e Manutenção de Estações e Redes de Distribuição de Energia Elétrica</t>
  </si>
  <si>
    <t>Portuárias, Marítimas e Fluviais</t>
  </si>
  <si>
    <t>Item componente do BDI</t>
  </si>
  <si>
    <t>% Informado</t>
  </si>
  <si>
    <t>1ºQ</t>
  </si>
  <si>
    <t>Médio</t>
  </si>
  <si>
    <t>3º Q</t>
  </si>
  <si>
    <t>Administração Central ( AC )</t>
  </si>
  <si>
    <t>7.85</t>
  </si>
  <si>
    <t>Seguro (S) e Garantia (G)</t>
  </si>
  <si>
    <t>Risco (R)</t>
  </si>
  <si>
    <t>Despesas Financeiras (DF)</t>
  </si>
  <si>
    <t>Lucro (L)</t>
  </si>
  <si>
    <t>Impostos (I) - PIS, COFINS, ISSQN</t>
  </si>
  <si>
    <t>Conforme Legislação Específica</t>
  </si>
  <si>
    <t>Observações</t>
  </si>
  <si>
    <t>VALORES DE BDI POR TIPO DE OBRA</t>
  </si>
  <si>
    <t>1) Preencher apenas a coluna % Informado (Coluna B)</t>
  </si>
  <si>
    <t>Tipo de Obra</t>
  </si>
  <si>
    <t>2) Os Tributos normalmente aplicáveis são: PIS (O,65%), COFINS (3,00%) e ISS (variável até 5,00% conforme o município).</t>
  </si>
  <si>
    <t>3) O cálculo do BDI se baseia na fórmula abaixo utilizada pelo Acórdão 2622/13 do TCU, conforme CE GEPAD 354/2013 de 17/10/2013.</t>
  </si>
  <si>
    <t>Construção de Rodovias e Ferrovias - Infra Urbana, praças, etc.</t>
  </si>
  <si>
    <t>B.D.I  =</t>
  </si>
  <si>
    <t>Rede de Abastecimento de Água, Coleta de Esgotos</t>
  </si>
  <si>
    <t>Fórmula Utilizada:</t>
  </si>
  <si>
    <t>Estações e Redes de Distribuição de Energia Elétrica</t>
  </si>
  <si>
    <t>Obras Portuárias, Marítimas e Fluviais</t>
  </si>
  <si>
    <t>Fornecimento de Materiais e Equipamentos</t>
  </si>
  <si>
    <t>Data/Base:</t>
  </si>
  <si>
    <t>CRONOGRAMA FÍSICO-FINANCEIRO</t>
  </si>
  <si>
    <t>DISCRIMINAÇÃO</t>
  </si>
  <si>
    <t>VALOR (R$)</t>
  </si>
  <si>
    <t>MÊS</t>
  </si>
  <si>
    <t>NOME DO AMBIENTE</t>
  </si>
  <si>
    <t>ÁREA (M²)</t>
  </si>
  <si>
    <t>PERÍMETRO (M)</t>
  </si>
  <si>
    <t>TOTAL&gt;&gt;&gt;&gt;&gt;&gt;</t>
  </si>
  <si>
    <t>Face externa</t>
  </si>
  <si>
    <t>1.10</t>
  </si>
  <si>
    <t>SOLEIRAS (M²)</t>
  </si>
  <si>
    <t>COMPOSIÇÃO DE CUSTOS UNITÁRIOS (ITENS NÃO CONSTANTES DO CATÁLOGO SINAPI)</t>
  </si>
  <si>
    <t>CÓDIGOS</t>
  </si>
  <si>
    <t>DESCRIÇÃO</t>
  </si>
  <si>
    <t>COEFICIENTE</t>
  </si>
  <si>
    <t>UNITÁRIO</t>
  </si>
  <si>
    <t>GLOBAL</t>
  </si>
  <si>
    <t>TOTAL DO SERVIÇO&gt;&gt;&gt;&gt;&gt;&gt;&gt;&gt;&gt;&gt;&gt;&gt;&gt;&gt;&gt;&gt;&gt;&gt;&gt;&gt;&gt;&gt;&gt;&gt;&gt;&gt;&gt;&gt;&gt;</t>
  </si>
  <si>
    <t>87620</t>
  </si>
  <si>
    <t>1.11</t>
  </si>
  <si>
    <t>1.12</t>
  </si>
  <si>
    <t>1.13</t>
  </si>
  <si>
    <t>1.14</t>
  </si>
  <si>
    <t>Secretaria da Saúde</t>
  </si>
  <si>
    <t>=357,84 (área da coberta em telha colonial sobre laje)=</t>
  </si>
  <si>
    <t>Recepção</t>
  </si>
  <si>
    <t>Circulação Térreo</t>
  </si>
  <si>
    <t>Processamento e Cartão do SUS</t>
  </si>
  <si>
    <t>Recursos Humanos</t>
  </si>
  <si>
    <t>Atenção Primária à Saúde</t>
  </si>
  <si>
    <t>Coordenação da Atenção Primária à Saúde</t>
  </si>
  <si>
    <t>WC-01</t>
  </si>
  <si>
    <t>WC-02</t>
  </si>
  <si>
    <t>WC-03</t>
  </si>
  <si>
    <t>WC-04</t>
  </si>
  <si>
    <t>WC-05</t>
  </si>
  <si>
    <t>WC-06</t>
  </si>
  <si>
    <t>WCF</t>
  </si>
  <si>
    <t>Vigilância em Saúde (Sanitária e Epidemiológica)</t>
  </si>
  <si>
    <t>Vigilância Ambiental (PEVA)</t>
  </si>
  <si>
    <t>Escada</t>
  </si>
  <si>
    <t>Serviços</t>
  </si>
  <si>
    <t>Depósito</t>
  </si>
  <si>
    <t>WCM</t>
  </si>
  <si>
    <t>Térreo:</t>
  </si>
  <si>
    <t>Pavimento Superior:</t>
  </si>
  <si>
    <t>Hall</t>
  </si>
  <si>
    <t>Cozinha</t>
  </si>
  <si>
    <t>Sala de Reuniões</t>
  </si>
  <si>
    <t>Coordenações</t>
  </si>
  <si>
    <t>Fundo Municipal de Saúde (Processamento/CMS)</t>
  </si>
  <si>
    <t>Fundo Municipal de Saúde (Tesouraria e Empenho)</t>
  </si>
  <si>
    <t>Gabinete do(a) Secretário(a)</t>
  </si>
  <si>
    <t>WC-07</t>
  </si>
  <si>
    <t>WC-08</t>
  </si>
  <si>
    <t>WC-09</t>
  </si>
  <si>
    <t>WC-10</t>
  </si>
  <si>
    <t>WC-11</t>
  </si>
  <si>
    <t>WC-12</t>
  </si>
  <si>
    <t>Comissão Permanente de Licitação</t>
  </si>
  <si>
    <t>Almoxarifado Central</t>
  </si>
  <si>
    <t>Circulação Superior</t>
  </si>
  <si>
    <t>=40,00=</t>
  </si>
  <si>
    <t>=45,00=</t>
  </si>
  <si>
    <t>=14,00 (vasos sanitários) + 8,00 (lavatórios)=</t>
  </si>
  <si>
    <t>00248/ORSE</t>
  </si>
  <si>
    <t>UN</t>
  </si>
  <si>
    <t/>
  </si>
  <si>
    <t>INSUMO</t>
  </si>
  <si>
    <t>M²</t>
  </si>
  <si>
    <t>COMPOSIÇÃO</t>
  </si>
  <si>
    <t>H</t>
  </si>
  <si>
    <t>SERVENTE COM ENCARGOS COMPLEMENTARES</t>
  </si>
  <si>
    <t>=3,00=</t>
  </si>
  <si>
    <t>00003119</t>
  </si>
  <si>
    <t>5.5</t>
  </si>
  <si>
    <t>03240/ORSE</t>
  </si>
  <si>
    <t>=26,45 (área do piso em granilite da recepção)=</t>
  </si>
  <si>
    <t>104162</t>
  </si>
  <si>
    <t>=46,54 (soma das áreas internas dos ambientes das baterias de sanitários)=</t>
  </si>
  <si>
    <t>88495</t>
  </si>
  <si>
    <t>88494</t>
  </si>
  <si>
    <t>88488</t>
  </si>
  <si>
    <t>88485</t>
  </si>
  <si>
    <t>88484</t>
  </si>
  <si>
    <t>=46,54 (soma das áreas com piso cerâmico)=</t>
  </si>
  <si>
    <t>=261,36 (área de revestimento cerâmico)=</t>
  </si>
  <si>
    <t>WCM-1</t>
  </si>
  <si>
    <t>WCM-2</t>
  </si>
  <si>
    <t>=0,80x2,10 (área de uma porta) x 19 (nº de portas a remover) + 0,60x1,80 (área de uma porta) x 10 (nº de portas a remover) + 0,60x2,10 (área de uma porta) x 3 (nº de portas)=</t>
  </si>
  <si>
    <t>=1,85x1,55 (área de uma janela) x 13 (nº de janelas)=</t>
  </si>
  <si>
    <t>=117,92 (soma dos perímetros dos sanitários existentes) x 3,00 (altura a retirar) + 34,58 (soma dos perímetros da cozinha e da sala de reuniões) x 2,00 (altura a remover) + 41,16 (área do revestimento da fachada frontal externa)=</t>
  </si>
  <si>
    <t>=[77,82+10,24 (áreas de calçadas de contorno) + 62,51 (área da calçada externa)] x 0,06 (espessura)=</t>
  </si>
  <si>
    <t>REFORMA E AMPLIAÇÃO PREDIAL PARA INSTALAÇÃO DA SECRETARIA MUNICIPAL DE SAÚDE</t>
  </si>
  <si>
    <t>=[1,20x1,20x1,10x4 (blocos de fundação) + 1,70x2+1,12x2+2,55 (alvenaria de baldrames) x 0,30 (largura) x 0,40 (profundidade)=</t>
  </si>
  <si>
    <t>2.3</t>
  </si>
  <si>
    <t>2.4</t>
  </si>
  <si>
    <t>2.5</t>
  </si>
  <si>
    <t>=1,70x2+1,12x2+2,55 (alvenaria de baldrames) x 0,30 (largura) x 0,10 (espessura do lastro)=</t>
  </si>
  <si>
    <t>ITEM DO ORÇAMENTO</t>
  </si>
  <si>
    <t>SINAPI</t>
  </si>
  <si>
    <t>ALVENARIA DE EMBASAMENTO EM TIJOLO CERÂMICO FURADO 9X19X19 (M³)</t>
  </si>
  <si>
    <t>00007271</t>
  </si>
  <si>
    <t>BLOCO CERÂMICO / TIJOLO VAZADO PARA ALVENARIA DE VEDAÇÃO, 8 FUROS NA HORIZONTAL, DE 9 X 19 X 19 CM (L XA X C)</t>
  </si>
  <si>
    <t>88631</t>
  </si>
  <si>
    <t>ARGAMASSA TRAÇO 1:4 (EM VOLUME DE CIMENTO E AREIA MÉDIA ÚMIDA), PREPARO MANUAL. AF_08/2019</t>
  </si>
  <si>
    <t>M³</t>
  </si>
  <si>
    <t>88309</t>
  </si>
  <si>
    <t>PEDREIRO COM ENCARGOS COMPLEMENTARES</t>
  </si>
  <si>
    <t>88316</t>
  </si>
  <si>
    <t>TOTAL DO SERVIÇO&gt;&gt;&gt;&gt;&gt;&gt;&gt;&gt;&gt;&gt;&gt;&gt;&gt;&gt;&gt;&gt;&gt;&gt;&gt;&gt;&gt;&gt;&gt;&gt;&gt;</t>
  </si>
  <si>
    <t>=2,30x2+2,55+1,70x2+3,35x2 (extensões dos baldrames, com desconto dos arranques de pilares) x 1,45 (altura da alvenaria com desconto da cinta inferior) x 0,20 (largura da alvenaria)=</t>
  </si>
  <si>
    <t>CPU</t>
  </si>
  <si>
    <t>1.15</t>
  </si>
  <si>
    <t>FUNDAÇÕES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</si>
  <si>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</si>
  <si>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</si>
  <si>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</si>
  <si>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</si>
  <si>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</si>
  <si>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</si>
  <si>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</si>
  <si>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</si>
  <si>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=11,00=</t>
  </si>
  <si>
    <t>=1,00x1,00x0,40 (volume de um bloco) x 4 (nº de blocos)=</t>
  </si>
  <si>
    <t>06457/ORSE</t>
  </si>
  <si>
    <t>=0,25x0,20 (seção) x 1,80 (altura do arranque) x 4 (nº de arranques)=</t>
  </si>
  <si>
    <t>=8,46 (soma das áreas internas da ampliação) x1,25 (altura)</t>
  </si>
  <si>
    <t>=1,00x,00x0,40x2+1,00x1,00x0,60x2=</t>
  </si>
  <si>
    <t>ELEVAÇÃO</t>
  </si>
  <si>
    <t>=3,35+3,55+1,50x3+0,65x2+0,90 (extensões dos baldrames, com desconto dos arranques de pilares)=</t>
  </si>
  <si>
    <t>=3,35+3,55+1,50x3+0,65x2+0,90 (extensões das paredes, com desconto dos arranques de pilares) x 3,00 (pé-direito) + 9,26x1,27 (platibanda) + 3,55x0,25 (anteparo da calha)=</t>
  </si>
  <si>
    <t>=4,27 (altura, incluindo a platibanda) x 0,10x0,20 (seção) x 4 (nº de pilares)=</t>
  </si>
  <si>
    <t>=3,35+3,55+1,50x3+0,65x2+0,90=</t>
  </si>
  <si>
    <t>=2,70x3,85=</t>
  </si>
  <si>
    <t>2.2.4</t>
  </si>
  <si>
    <t>2.2.1</t>
  </si>
  <si>
    <t>2.2.2</t>
  </si>
  <si>
    <t>2.2.3</t>
  </si>
  <si>
    <t>2.3.1</t>
  </si>
  <si>
    <t>2.3.2</t>
  </si>
  <si>
    <t>2.3.3</t>
  </si>
  <si>
    <t>2.3.4</t>
  </si>
  <si>
    <t>2.3.5</t>
  </si>
  <si>
    <t>2.3.6</t>
  </si>
  <si>
    <t>2.3.7</t>
  </si>
  <si>
    <t>92543</t>
  </si>
  <si>
    <t>=2,55x3,55=</t>
  </si>
  <si>
    <t>94207</t>
  </si>
  <si>
    <t>=8,46 (soma das áreas internas da ampliação)=</t>
  </si>
  <si>
    <t>96109</t>
  </si>
  <si>
    <t>94231</t>
  </si>
  <si>
    <t>=3,55=</t>
  </si>
  <si>
    <t>94228</t>
  </si>
  <si>
    <t>=4,23=</t>
  </si>
  <si>
    <t>89511</t>
  </si>
  <si>
    <t>89522</t>
  </si>
  <si>
    <t>90790</t>
  </si>
  <si>
    <t>=0,80x0,40x2=</t>
  </si>
  <si>
    <t>2.4.1</t>
  </si>
  <si>
    <t>2.4.2</t>
  </si>
  <si>
    <t>2.4.3</t>
  </si>
  <si>
    <t>2.5.1</t>
  </si>
  <si>
    <t>2.5.2</t>
  </si>
  <si>
    <t>2.5.3</t>
  </si>
  <si>
    <t>2.5.4</t>
  </si>
  <si>
    <t>=8,46 (área do piso da ampliação)=</t>
  </si>
  <si>
    <t>=8,46 (área do piso da ampliação) x 0,05 (espessura)=</t>
  </si>
  <si>
    <t>2.6</t>
  </si>
  <si>
    <t>2.6.1</t>
  </si>
  <si>
    <t>2.6.2</t>
  </si>
  <si>
    <t>2.6.3</t>
  </si>
  <si>
    <t>2.7</t>
  </si>
  <si>
    <t>2.7.1</t>
  </si>
  <si>
    <t>2.7.2</t>
  </si>
  <si>
    <t>2.7.3</t>
  </si>
  <si>
    <t>2.8</t>
  </si>
  <si>
    <t>2.8.1</t>
  </si>
  <si>
    <t>2.8.2</t>
  </si>
  <si>
    <t>2.8.3</t>
  </si>
  <si>
    <t>2.8.4</t>
  </si>
  <si>
    <t>2.8.5</t>
  </si>
  <si>
    <t>2.8.6</t>
  </si>
  <si>
    <t>2.9</t>
  </si>
  <si>
    <t>2.9.1</t>
  </si>
  <si>
    <t>2.9.2</t>
  </si>
  <si>
    <t>2.9.3</t>
  </si>
  <si>
    <t>2.9.4</t>
  </si>
  <si>
    <t>2.9.5</t>
  </si>
  <si>
    <t>2.9.6</t>
  </si>
  <si>
    <t>3.1.1</t>
  </si>
  <si>
    <t>3.1.2</t>
  </si>
  <si>
    <t>=10,00=</t>
  </si>
  <si>
    <t>AMPLIAÇÃO DA EDIFICAÇÃO (SANITÁRIOS PARA PNE)</t>
  </si>
  <si>
    <t>REFORMA E ADEQUAÇÃO DA EDIFICAÇÃO</t>
  </si>
  <si>
    <t>=1,44 (extensão) x 3,00 (altura) x 2 (fechamento das paredes dos sanitários, em ambos os pavimentos) + 0,90 (extensão do fechamento dos boxes dos sanitários) x 2,10 (altura) x 2 (baterias) + 0,64x0,60 (fechamento do guichê da copa)=</t>
  </si>
  <si>
    <t>8038/ORSE</t>
  </si>
  <si>
    <t>=1,44 (extensão da parede) x 2 (sanitários inferior e superior)=</t>
  </si>
  <si>
    <t>=32,89 (extensão do vão da coberta)=</t>
  </si>
  <si>
    <t>=32,89 (extensão da coberta) x 2 (lados)=</t>
  </si>
  <si>
    <t>2.7.4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</si>
  <si>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</si>
  <si>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</si>
  <si>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</si>
  <si>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</si>
  <si>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</si>
  <si>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</si>
  <si>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</si>
  <si>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</si>
  <si>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</si>
  <si>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2.7.14</t>
  </si>
  <si>
    <t>104780</t>
  </si>
  <si>
    <t>RASGO LINEAR MECANIZADO EM ALVENARIA, PARA ELETRODUTOS, DIÂMETROS MENORES OU IGUAIS A 40 MM. AF_09/2023</t>
  </si>
  <si>
    <t>FORNECIMENTO E INSTALAÇÃO DE PLACA DE OBRA COM CHAPA GALVANIZADA E ESTRUTURA DE MADEIRA. AF_03/2022_PS</t>
  </si>
  <si>
    <t>REMOÇÃO DE PORTAS, DE FORMA MANUAL, SEM REAPROVEITAMENTO. AF_12/2017</t>
  </si>
  <si>
    <t>REMOÇÃO DE JANELAS, DE FORMA MANUAL, SEM REAPROVEITAMENTO. AF_12/2017</t>
  </si>
  <si>
    <t>REMOÇÃO DE TELHAS, DE FIBROCIMENTO, METÁLICA E CERÂMICA, DE FORMA MANUAL, SEM REAPROVEITAMENTO. AF_12/2017</t>
  </si>
  <si>
    <t>REMOÇÃO DE INTERRUPTORES/TOMADAS ELÉTRICAS, DE FORMA MANUAL, SEM REAPROVEITAMENTO. AF_12/2017</t>
  </si>
  <si>
    <t>REMOÇÃO DE LUMINÁRIAS, DE FORMA MANUAL, SEM REAPROVEITAMENTO. AF_12/20</t>
  </si>
  <si>
    <t>REMOÇÃO DE LOUÇAS, DE FORMA MANUAL, SEM REAPROVEITAMENTO. AF_12/2017</t>
  </si>
  <si>
    <t>DEMOLIÇÃO DE ALVENARIA DE BLOCO FURADO, DE FORMA MANUAL, SEM REAPROVEITAMENTO. AF_12/2017</t>
  </si>
  <si>
    <t>DEMOLIÇÃO DE ALVENARIA DE ELEMENTOS VAZADOS (COBOGÓ), SEM REAPROVEITAMENTO</t>
  </si>
  <si>
    <t>DEMOLIÇÃO DE LAJES DE FORMA MECANIZADA,  COM MARTELETE, SEM REAPROVEITAMENTO. AF_12/2017</t>
  </si>
  <si>
    <t>DEMOLIÇÃO DE PISO DE ALTA RESISTÊNCIA</t>
  </si>
  <si>
    <t>DEMOLIÇÃO DE PISO DE CONCRETO SIMPLES, DE FORMA MECANIZADA COM MARTELETE, SEM REAPROVEITAMENTO. AF_09/2023 (PARA AS CALÇADAS DE CONTORNO E EXTERNAS)</t>
  </si>
  <si>
    <t>ESCAVAÇÃO MANUAL DE VALA. AF_09/2024</t>
  </si>
  <si>
    <t>CONCRETO CICLÓPICO FCK = 15MPA, 30% PEDRA DE MÃO EM VOLUME REAL, INCLUSIVE LANÇAMENTO. AF_05/2021</t>
  </si>
  <si>
    <t>CONCRETO ARMADO FCK=15MPA FABRICADO NA OBRA, ADENSADO E LANÇADO, PARA USO GERAL, COM FORMAS PLANAS EM COMPENSADO RESINADO 12MM (PARA ARRANQUES DE PILARES)</t>
  </si>
  <si>
    <t>LASTRO DE CONCRETO MAGRO, APLICADO EM PISOS, LAJES SOBRE SOLO OU RADIERS. AF_01/2024</t>
  </si>
  <si>
    <t>ALVENARIA DE EMBASAMENTO EM TIJOLO CERÂMICO FURADO 9X19X19 (PARA O CAIXÃO DA AMPLIAÇÃO)</t>
  </si>
  <si>
    <t>CINTA DE AMARRAÇÃO DE ALVENARIA MOLDADA IN LOCO COM UTILIZAÇÃO DE BLOCOS CANALETA, ESPESSURA DE 20 CM. AF_03/2024</t>
  </si>
  <si>
    <t>REATERRO MANUAL DE VALAS, COM COMPACTADOR DE SOLOS DE PERCUSSÃO. AF_08/2023</t>
  </si>
  <si>
    <t>ATERRO MANUAL DE VALAS COM SOLO ARGILO-ARENOSO E COMPACTAÇÃO MECANIZADA. AF_05/2016</t>
  </si>
  <si>
    <t>ALVENARIA DE VEDAÇÃO DE BLOCOS CERÂMICOS FURADOS NA HORIZONTAL DE 9X19X19 CM (ESPESSURA 9 CM) E ARGAMASSA DE ASSENTAMENTO COM PREPARO EM BETONEIRA. AF_12/2021</t>
  </si>
  <si>
    <t>CONCRETO ARMADO FCK=15MPA FABRICADO NA OBRA, ADENSADO E LANÇADO, PARA USO GERAL, COM FORMAS PLANAS EM COMPENSADO RESINADO 12MM (PARA PILARES)</t>
  </si>
  <si>
    <t>LAJE PRÉ-MOLDADA UNIDIRECIONAL, BIAPOIADA, ENCHIMENTO EM EPS, VIGOTA TRELIÇADA, ALTURA TOTAL DA LAJE (ENCHIMENTO+CAPA) = (12+4). AF_11/2020</t>
  </si>
  <si>
    <t>TRAMA DE MADEIRA COMPOSTA POR TERÇAS PARA TELHADOS DE ATÉ 2 ÁGUAS PARA TELHA ONDULADA DE FIBROCIMENTO, METÁLICA, PLÁSTICA OU TERMOACÚSTICA, INCLUSO TRANSPORTE VERTICAL. AF_07/2019</t>
  </si>
  <si>
    <t>TELHAMENTO COM TELHA ONDULADA DE FIBROCIMENTO E = 6 MM, COM RECOBRIMENTO LATERAL DE 1/4 DE ONDA PARA TELHADO COM INCLINAÇÃO MAIOR QUE 10°, COM ATÉ 2 ÁGUAS, INCLUSO IÇAMENTO. AF_07/2019</t>
  </si>
  <si>
    <t>RUFO EM CHAPA DE AÇO GALVANIZADO NÚMERO 24, CORTE DE 25 CM, INCLUSO TANSPORTE VERTICAL. AF_07/2019</t>
  </si>
  <si>
    <t>CALHA EM CHAPA DE AÇO GALVANIZADO NÚMERO 24, DESENVOLVIMENTO DE 50 CM, INCLUSO TRANSPORTE VERTICAL. AF_07/2019</t>
  </si>
  <si>
    <t>TUBO PVC, SÉRIE R, ÁGUA PLUVIAL, DN 75 MM, FORNECIDO E INSTALADO EM RAMAL DE ENCAMINHAMENTO. AF_06/2022 (PARA DESCIDA DA ÁGUA PLUVIAL)</t>
  </si>
  <si>
    <t>JOELHO 90 GRAUS, PVC, SÉRIE R, ÁGUA PLUVIAL, DN 75 MM, JUNTA ELÁSTICA, FORNECIDO E INSTALADO EM RAMAL DE ENCAMINHAMENTO. AF_06/2022</t>
  </si>
  <si>
    <t>KIT DE PORTA-PRONTA DE MADEIRA EM ACABAMENTO MELAMÍNICO BRANCO, FOLHA LEVE OU MÉDIA, 80X210CM, EXCLUSIVE FECHADURA, FIXAÇÃO COM PREENCHIMENTO PARCIAL DE ESPUMA EXPANSIVA - FORNECIMENTO E INSTALAÇÃO. AF_12/2019</t>
  </si>
  <si>
    <t>FERROLHO COM FECHO / TRINCO REDONDO, EM AÇO GALVANIZADO / ZINCADO, DE SOBREPOR, COM COMPRIMENTO DE 2" E ESPESSURA MINIMA DA CHAPA DE 0,90 MM, PARA PORTAS E JANELAS (PARA OS BANHEIROS)</t>
  </si>
  <si>
    <t>CHAPISCO APLICADO EM ALVENARIAS E ESTRUTURAS DE CONCRETO INTERNAS, COM COLHER DE PEDREIRO. ARGAMASSA TRAÇO 1:3 COM PREPARO MANUAL. AF_10/2022</t>
  </si>
  <si>
    <t>EMBOÇO, PARA RECEBIMENTO DE CERÂMICA, EM ARGAMASSA TRAÇO 1:2:8, PREPARO MECÂNICO COM BETONEIRA 400L, APLICADO MANUALMENTE EM FACES INTERNAS DE PAREDES, PARA AMBIENTE COM ÁREA ENTRE 5M2 E 10M2, ESPESSURA DE 10MM, COM EXECUÇÃO DE TALISCAS. AF_06/2014</t>
  </si>
  <si>
    <t>MASSA ÚNICA, PARA RECEBIMENTO DE PINTURA, EM ARGAMASSA TRAÇO 1:2:8, PREPARO MECÂNICO COM BETONEIRA 400L, APLICADA MANUALMENTE EM FACES INTERNAS DE PAREDES, ESPESSURA DE 10MM, COM EXECUÇÃO DE TALISCAS. AF_06/2014</t>
  </si>
  <si>
    <t>CONTRAPISO EM ARGAMASSA TRAÇO 1:4 (CIMENTO E AREIA), PREPARO MECÂNICO COM BETONEIRA 400 L, APLICADO EM ÁREAS SECAS SOBRE LAJE, ADERIDO, ACABAMENTO NÃO REFORÇADO, ESPESSURA 2CM. AF_07/2021</t>
  </si>
  <si>
    <t>M</t>
  </si>
  <si>
    <t>=1,60x3=</t>
  </si>
  <si>
    <t>91871</t>
  </si>
  <si>
    <t>ELETRODUTO RÍGIDO ROSCÁVEL, PVC, DN 25 MM (3/4"), PARA CIRCUITOS TERMINAIS, INSTALADO EM PAREDE - FORNECIMENTO E INSTALAÇÃO. AF_03/2023</t>
  </si>
  <si>
    <t>=0,97+1,35+2,95+1,85+1,35+0,96+2,71+1,60x3=</t>
  </si>
  <si>
    <t>90466</t>
  </si>
  <si>
    <t>CHUMBAMENTO LINEAR EM ALVENARIA PARA RAMAIS/DISTRIBUIÇÃO DE INSTALAÇÕES HIDRÁULICAS COM DIÂMETROS MENORES OU IGUAIS A 40 MM. AF_09/2023</t>
  </si>
  <si>
    <t>91863</t>
  </si>
  <si>
    <t>ELETRODUTO RÍGIDO ROSCÁVEL, PVC, DN 25 MM (3/4"), PARA CIRCUITOS TERMINAIS, INSTALADO EM FORRO - FORNECIMENTO E INSTALAÇÃO. AF_03/2023</t>
  </si>
  <si>
    <t>LUVA PARA ELETRODUTO, PVC, ROSCÁVEL, DN 25 MM (3/4"), PARA CIRCUITOS TERMINAIS, INSTALADA EM PAREDE - FORNECIMENTO E INSTALAÇÃO. AF_03/2023</t>
  </si>
  <si>
    <t>91884</t>
  </si>
  <si>
    <t>=8,00=</t>
  </si>
  <si>
    <t>LUVA PARA ELETRODUTO, PVC, ROSCÁVEL, DN 25 MM (3/4"), PARA CIRCUITOS TERMINAIS, INSTALADA EM FORRO - FORNECIMENTO E INSTALAÇÃO. AF_03/2023</t>
  </si>
  <si>
    <t>91875</t>
  </si>
  <si>
    <t>91914</t>
  </si>
  <si>
    <t>97559</t>
  </si>
  <si>
    <t>CURVA PARA ELETRODUTO, PVC, ROSCÁVEL, DN 25 MM (3/4"), PARA CIRCUITOS TERMINAIS, INSTALADA EM PAREDE - FORNECIMENTO E INSTALAÇÃO. AF_03/2023</t>
  </si>
  <si>
    <t>CURVA PARA ELETRODUTO, PVC, ROSCÁVEL, DN 25 MM (3/4"), PARA CIRCUITOS TERMINAIS, INSTALADA EM FORRO - FORNECIMENTO E INSTALAÇÃO. AF_03/2023</t>
  </si>
  <si>
    <t>92023</t>
  </si>
  <si>
    <t>INTERRUPTOR SIMPLES (1 MÓDULO) COM 1 TOMADA DE EMBUTIR 2P+T 10 A, INCLUINDO SUPORTE E PLACA - FORNECIMENTO E INSTALAÇÃO. AF_03/2023</t>
  </si>
  <si>
    <t>97598</t>
  </si>
  <si>
    <t>SENSOR DE PRESENÇA SEM FOTOCÉLULA, FIXAÇÃO EM TETO - FORNECIMENTO E INSTALAÇÃO. AF_09/2024</t>
  </si>
  <si>
    <t>LUMINÁRIA PAINEL LED EMBUTIR 18W QUADRADA, 6000K  DA G-LIGHT OU SIMILAR - REV01_11/2021</t>
  </si>
  <si>
    <t>12971/ORSE</t>
  </si>
  <si>
    <t>2.7.15</t>
  </si>
  <si>
    <t>104624</t>
  </si>
  <si>
    <t>CAIXA ELÉTRICA 4"X2" AUTOTRAVANTE PARA FURO CIRCULAR BAIXA (0,30 M DO PISO), PVC, INSTALADA EM PAREDE - FORNECIMENTO E INSTALAÇÃO. AF_03/2023</t>
  </si>
  <si>
    <t>104622</t>
  </si>
  <si>
    <t>CAIXA ELÉTRICA 4"X2" AUTOTRAVANTE PARA FURO CIRCULAR MÉDIA (1,30 M DO PISO), PVC, INSTALADA EM PAREDE - FORNECIMENTO E INSTALAÇÃO. AF_03/2023</t>
  </si>
  <si>
    <t>92001</t>
  </si>
  <si>
    <t>TOMADA BAIXA DE EMBUTIR (1 MÓDULO), 2P+T 20 A, INCLUINDO SUPORTE E PLACA - FORNECIMENTO E INSTALAÇÃO. AF_03/2023</t>
  </si>
  <si>
    <t>91924</t>
  </si>
  <si>
    <t>CABO DE COBRE FLEXÍVEL ISOLADO, 1,5 MM², ANTI-CHAMA 450/750 V, PARA CIRCUITOS TERMINAIS - FORNECIMENTO E INSTALAÇÃO. AF_03/2023</t>
  </si>
  <si>
    <t>=15,34x4=</t>
  </si>
  <si>
    <t>89362</t>
  </si>
  <si>
    <t>JOELHO 90 GRAUS, PVC, SOLDÁVEL, DN 25MM, INSTALADO EM RAMAL OU SUB-RAMAL DE ÁGUA - FORNECIMENTO E INSTALAÇÃO. AF_06/2022</t>
  </si>
  <si>
    <t>JOELHO 90º PVC RÍGIDO SOLDÁVEL COM BUCHA DE LATÃO, D= 25MM X 3/4"</t>
  </si>
  <si>
    <t>103042</t>
  </si>
  <si>
    <t>REGISTRO DE ESFERA, PVC, ROSCÁVEL, COM BORBOLETA, 3/4" - FORNECIMENTO E INSTALAÇÃO. AF_08/2021</t>
  </si>
  <si>
    <t>89617</t>
  </si>
  <si>
    <t>TÊ, PVC, SOLDÁVEL, DN 25MM, INSTALADO EM PRUMADA DE ÁGUA - FORNECIMENTO E INSTALAÇÃO. AF_06/2022</t>
  </si>
  <si>
    <t>TÊ COM BUCHA DE LATÃO NA BOLSA CENTRAL, PVC, SOLDÁVEL, DN 25MM X 3/4, INSTALADO EM RAMAL OU SUB-RAMAL DE ÁGUA - FORNECIMENTO E INSTALAÇÃO. AF_06/2022</t>
  </si>
  <si>
    <t>TUBO, PVC, SOLDÁVEL, DE 25MM, INSTALADO EM PRUMADA DE ÁGUA - FORNECIMENTO E INSTALAÇÃO. AF_06/2022</t>
  </si>
  <si>
    <t>2.9.7</t>
  </si>
  <si>
    <t>2.9.8</t>
  </si>
  <si>
    <t>=2,36=</t>
  </si>
  <si>
    <t>=4,94+8,97=</t>
  </si>
  <si>
    <t>RALO SECO EM PVC  D = 100 MM, COM SAÍDA SOLDÁVEL 40 MM, COM GRELHA REDONDA ACABAMENTO BRANCO</t>
  </si>
  <si>
    <t>JOELHO 90 GRAUS, PVC, SÉRIE NORMAL, ESGOTO PREDIAL, DN 100 MM, JUNTA ELÁSTICA, FORNECIDO E INSTALADO EM RAMAL DE DESCARGA OU RAMAL DE ESGOTO SANITÁRIO. AF_08/2022</t>
  </si>
  <si>
    <t>1672/ORSE</t>
  </si>
  <si>
    <t>JOELHO DE 90°COM BOLSA PARA ANEL, EM PVC RÍGIDO COM ANÉIS, PARA ESGOTO SECUNDÁRIO, DIÂM = 40MM</t>
  </si>
  <si>
    <t>1700/ORSE</t>
  </si>
  <si>
    <t>4965/ORSE</t>
  </si>
  <si>
    <t>JOELHO 45 GRAUS, PVC, SÉRIE NORMAL, ESGOTO PREDIAL, DN 40 MM, JUNTA SOLDÁVEL, FORNECIDO E INSTALADO EM RAMAL DE DESCARGA OU RAMAL DE ESGOTO SANITÁRIO. AF_08/2022</t>
  </si>
  <si>
    <t>JOELHO 90 GRAUS, PVC, SÉRIE NORMAL, ESGOTO PREDIAL, DN 50 MM, JUNTA ELÁSTICA, FORNECIDO E INSTALADO EM RAMAL DE DESCARGA OU RAMAL DE ESGOTO SANITÁRIO. AF_08/2022</t>
  </si>
  <si>
    <t>INSTALAÇÃO ELÉTRICA</t>
  </si>
  <si>
    <t>INSTALAÇÃO HIDRÁULICA</t>
  </si>
  <si>
    <t>INSTALAÇÃO SANITÁRIA</t>
  </si>
  <si>
    <t>53443/SBC</t>
  </si>
  <si>
    <t>JUNÇÃO SIMPLES PVC COM ANEL DE BORRACHA 100X50MM</t>
  </si>
  <si>
    <t>4883/ORSE</t>
  </si>
  <si>
    <t>CAIXA DE INSPEÇÃO  0.60 X 0.60 X 0.60M</t>
  </si>
  <si>
    <t>TUBO PVC, SÉRIE NORMAL, ESGOTO PREDIAL, DN 50 MM, FORNECIDO E INSTALADO EM RAMAL DE DESCARGA OU RAMAL DE ESGOTO SANITÁRIO. AF_08/2022</t>
  </si>
  <si>
    <t>TUBO PVC, SÉRIE NORMAL, ESGOTO PREDIAL, DN 40 MM, FORNECIDO E INSTALADO EM RAMAL DE DESCARGA OU RAMAL DE ESGOTO SANITÁRIO. AF_08/2022</t>
  </si>
  <si>
    <t>2.10</t>
  </si>
  <si>
    <t>LOUÇAS E METAIS</t>
  </si>
  <si>
    <t>2.10.1</t>
  </si>
  <si>
    <t>TUBO PVC, SÉRIE NORMAL, ESGOTO PREDIAL, DN 100 MM, FORNECIDO E INSTALADO EM RAMAL DE DESCARGA OU RAMAL DE ESGOTO SANITÁRIO. AF_08/2022</t>
  </si>
  <si>
    <t>VASO SANITÁRIO SIFONADO COM CAIXA ACOPLADA LOUÇA BRANCA, INCLUSO ENGATE FLEXÍVEL EM PLÁSTICO BRANCO, 1/2 X 40CM - FORNECIMENTO E INSTALAÇÃO. AF_01/2020</t>
  </si>
  <si>
    <t>2.10.2</t>
  </si>
  <si>
    <t>LAVATÓRIO LOUÇA BRANCA SUSPENSO, 29,5 X 39CM OU EQUIVALENTE, PADRÃO POPULAR, INCLUSO SIFÃO TIPO GARRAFA EM PVC, VÁLVULA E ENGATE FLEXÍVEL 30CM EM PLÁSTICO E TORNEIRA CROMADA DE MESA, PADRÃO POPULAR - FORNECIMENTO E INSTALAÇÃO. AF_01/2020</t>
  </si>
  <si>
    <t>2.10.3</t>
  </si>
  <si>
    <t>ASSENTO SANITÁRIO CONVENCIONAL - FORNECIMENTO E INSTALAÇÃO. AF_01/2020</t>
  </si>
  <si>
    <t>2.10.4</t>
  </si>
  <si>
    <t>PAPELEIRA DE PAREDE EM METAL CROMADO SEM TAMPA, INCLUSO FIXAÇÃO. AF_01/2020</t>
  </si>
  <si>
    <t>2.10.5</t>
  </si>
  <si>
    <t>SABONETEIRA DE PAREDE EM METAL CROMADO, INCLUSO FIXAÇÃO. AF_01/2020</t>
  </si>
  <si>
    <t>2.10.6</t>
  </si>
  <si>
    <t>BARRA DE APOIO RETA, EM ALUMÍNIO, COMPRIMENTO 90 CM, FIXADA NA PAREDE - FORNECIMENTO E INSTALAÇÃO. AF_01/2020</t>
  </si>
  <si>
    <t>=2,00x2=</t>
  </si>
  <si>
    <t>=1,00x2=</t>
  </si>
  <si>
    <t>=7,96 + 2,00=</t>
  </si>
  <si>
    <t>2.11</t>
  </si>
  <si>
    <t>EMASSAMENTO COM MASSA LÁTEX, APLICAÇÃO EM TETO, UMA DEMÃO, LIXAMENTO MANUAL. AF_04/2023</t>
  </si>
  <si>
    <t>FUNDO SELADOR ACRÍLICO, APLICAÇÃO MANUAL EM PAREDE, UMA DEMÃO. AF_04/2023</t>
  </si>
  <si>
    <t>FUNDO SELADOR ACRÍLICO, APLICAÇÃO MANUAL EM TETO, UMA DEMÃO. AF_04/2023</t>
  </si>
  <si>
    <t>PINTURA LÁTEX ACRÍLICA PREMIUM, APLICAÇÃO MANUAL EM TETO, DUAS DEMÃOS. AF_04/2023</t>
  </si>
  <si>
    <t>CINTA DE AMARRAÇÃO DE ALVENARIA MOLDADA IN LOCO COM UTILIZAÇÃO DE BLOCOS CANALETA. AF_03/2016</t>
  </si>
  <si>
    <t>TELHAMENTO COM TELHA CERÂMICA CAPA-CANAL, TIPO PAULISTA, COM ATÉ 2 ÁGUAS, INCLUSO TRANSPORTE VERTICAL. AF_07/2019</t>
  </si>
  <si>
    <t>CUMEEIRA PARA TELHA CERÂMICA EMBOÇADA COM ARGAMASSA TRAÇO 1:2:9 (CIMENTO, CAL E AREIA) PARA TELHADOS COM ATÉ 2 ÁGUAS, INCLUSO TRANSPORTE VERTICAL. AF_07/2019</t>
  </si>
  <si>
    <t>EMASSAMENTO DE BEIRAL DE TELHA CERÂMICA</t>
  </si>
  <si>
    <t>9565/ORSE</t>
  </si>
  <si>
    <t>=14,01 - 0,90x2,10x2=</t>
  </si>
  <si>
    <t>13095/ORSE</t>
  </si>
  <si>
    <t>DIVISÓRIA FIXA EM VIDRO TEMPERADO 10 MM, SEM ABERTURA. AF_01/2021_PS (PARA O ACESSO PRINCIPAL)</t>
  </si>
  <si>
    <t>=0,90x2,10x2=</t>
  </si>
  <si>
    <t>=1,85x1,55x13 + 4,00x0,60x2 + 4,60x1,55x1 + 0,80x0,40x2=</t>
  </si>
  <si>
    <t>=21,00=</t>
  </si>
  <si>
    <t>91341</t>
  </si>
  <si>
    <t>PORTA EM ALUMÍNIO DE ABRIR TIPO VENEZIANA COM GUARNIÇÃO, FIXAÇÃO COM PARAFUSOS - FORNECIMENTO E INSTALAÇÃO. AF_12/2019 (PAA-01)</t>
  </si>
  <si>
    <t>PORTA EM VIDRO TEMPERADO 10MM, NA COR VERDE, INCLUSIVE FERRAGENS  E INSTALAÇÃO, EXCLUSIVE PUXADOR  (PVT)</t>
  </si>
  <si>
    <t>100874</t>
  </si>
  <si>
    <t>PUXADOR PARA PCD, FIXADO NA PORTA - FORNECIMENTO E INSTALAÇÃO. AF_01/2020</t>
  </si>
  <si>
    <t>3.4</t>
  </si>
  <si>
    <t>3.5</t>
  </si>
  <si>
    <t>=454,61 (soma das áreas internas dos ambientes térreos e superiores da edificação)=</t>
  </si>
  <si>
    <t>Beirais</t>
  </si>
  <si>
    <t>LOCAÇÃO CONVENCIONAL DE OBRA, UTILIZANDO GABARITO DE TÁBUAS CORRIDAS PONTALETADAS A CADA 2,00M - 2 UTILIZAÇÕES. AF_03/2024 (SANITÁRIOS PARA PNE)</t>
  </si>
  <si>
    <t>3312/ORSE</t>
  </si>
  <si>
    <t>CHAPISCO EM TETO, E=5MM, COM ARGAMASSA TRAÇO T1 - 1:3 (CIMENTO / AREIA) - REVISADA 08/2015</t>
  </si>
  <si>
    <t>=4,23x2 (área da ampliação)=</t>
  </si>
  <si>
    <t>=19,80 (soma dos perímetros da ampliação) x 1,80 (altura)=</t>
  </si>
  <si>
    <t>2.5.5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</si>
  <si>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</si>
  <si>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</si>
  <si>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</si>
  <si>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</si>
  <si>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</si>
  <si>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</si>
  <si>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</si>
  <si>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</si>
  <si>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</si>
  <si>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</si>
  <si>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</si>
  <si>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</si>
  <si>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3.4.1</t>
  </si>
  <si>
    <t>3.4.2</t>
  </si>
  <si>
    <t>3.4.3</t>
  </si>
  <si>
    <t>3.4.4</t>
  </si>
  <si>
    <t>3.4.5</t>
  </si>
  <si>
    <t>3.4.6</t>
  </si>
  <si>
    <t>3.5.1</t>
  </si>
  <si>
    <t>3.5.2</t>
  </si>
  <si>
    <t>3.5.4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</si>
  <si>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</si>
  <si>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3.5.5</t>
  </si>
  <si>
    <t>39025/SIURB</t>
  </si>
  <si>
    <t>POLIMENTO DE PISO EM GRANILITE</t>
  </si>
  <si>
    <t>=0,93x2,10x4 (abertura das portas dos sanitários) x 0,15 (espessura das paredes) + 81,11 (perímetro das calçadas de contorno existentes) x 0,40 (altura média) x 0,15 (espessura) + 1,00x2,00x0,30 (volume da base para  colchão) x 36 (nº de bases)=</t>
  </si>
  <si>
    <t>=26,45 (área do piso em granilite da recepção) + 1,00x2,00x36 (área das bases para colchões demolidas)=</t>
  </si>
  <si>
    <t>3.6</t>
  </si>
  <si>
    <t>3.6.1</t>
  </si>
  <si>
    <t>3.6.2</t>
  </si>
  <si>
    <t>3.6.3</t>
  </si>
  <si>
    <t>3.6.4</t>
  </si>
  <si>
    <t>3.6.5</t>
  </si>
  <si>
    <t>3.6.6</t>
  </si>
  <si>
    <t>3.6.7</t>
  </si>
  <si>
    <t>3.6.8</t>
  </si>
  <si>
    <t>3.6.9</t>
  </si>
  <si>
    <t>3.6.10</t>
  </si>
  <si>
    <t>3.6.11</t>
  </si>
  <si>
    <t>3.6.12</t>
  </si>
  <si>
    <t>3.6.13</t>
  </si>
  <si>
    <t>3.6.14</t>
  </si>
  <si>
    <t>3.6.15</t>
  </si>
  <si>
    <t>MEMÓRIA AUXILIAR</t>
  </si>
  <si>
    <t>Eletrodutos paredes:</t>
  </si>
  <si>
    <t>3.6.16</t>
  </si>
  <si>
    <t>91870</t>
  </si>
  <si>
    <t>ELETRODUTO RÍGIDO ROSCÁVEL, PVC, DN 20 MM (1/2"), PARA CIRCUITOS TERMINAIS, INSTALADO EM PAREDE - FORNECIMENTO E INSTALAÇÃO. AF_03/2023</t>
  </si>
  <si>
    <t>=419,58=</t>
  </si>
  <si>
    <t>91873</t>
  </si>
  <si>
    <t>ELETRODUTO RÍGIDO ROSCÁVEL, PVC, DN 40 MM (1 1/4"), PARA CIRCUITOS TERMINAIS, INSTALADO EM PAREDE - FORNECIMENTO E INSTALAÇÃO. AF_03/2023</t>
  </si>
  <si>
    <t>=5,00=</t>
  </si>
  <si>
    <t>93008</t>
  </si>
  <si>
    <t>ELETRODUTO RÍGIDO ROSCÁVEL, PVC, DN 50 MM (1 1/2"), PARA REDE ENTERRADA DE DISTRIBUIÇÃO DE ENERGIA ELÉTRICA - FORNECIMENTO E INSTALAÇÃO. AF_12/2021</t>
  </si>
  <si>
    <t>=507,93=</t>
  </si>
  <si>
    <t>91872</t>
  </si>
  <si>
    <t>ELETRODUTO RÍGIDO ROSCÁVEL, PVC, DN 32 MM (1"), PARA CIRCUITOS TERMINAIS, INSTALADO EM PAREDE - FORNECIMENTO E INSTALAÇÃO. AF_03/2023</t>
  </si>
  <si>
    <t>91864</t>
  </si>
  <si>
    <t>ELETRODUTO RÍGIDO ROSCÁVEL, PVC, DN 32 MM (1"), PARA CIRCUITOS TERMINAIS, INSTALADO EM FORRO - FORNECIMENTO E INSTALAÇÃO. AF_03/2023</t>
  </si>
  <si>
    <t>=17,08=</t>
  </si>
  <si>
    <t>=2,50=</t>
  </si>
  <si>
    <t>91865</t>
  </si>
  <si>
    <t>ELETRODUTO RÍGIDO ROSCÁVEL, PVC, DN 40 MM (1 1/4"), PARA CIRCUITOS TERMINAIS, INSTALADO EM FORRO - FORNECIMENTO E INSTALAÇÃO. AF_03/2023</t>
  </si>
  <si>
    <t>=42,81=</t>
  </si>
  <si>
    <t>=8,80+46,66=</t>
  </si>
  <si>
    <t>373/ORSE</t>
  </si>
  <si>
    <t>LUVA PARA ELETRODUTO DE PVC RÍGIDO ROSCÁVEL, DIÂM = 40MM (1 1/4")</t>
  </si>
  <si>
    <t>=9,00=</t>
  </si>
  <si>
    <t>=135,00=</t>
  </si>
  <si>
    <t>=105,00=</t>
  </si>
  <si>
    <t>=50,00=</t>
  </si>
  <si>
    <t>=27,00=</t>
  </si>
  <si>
    <t>91926</t>
  </si>
  <si>
    <t>CABO DE COBRE FLEXÍVEL ISOLADO, 2,5 MM², ANTI-CHAMA 450/750 V, PARA CIRCUITOS TERMINAIS - FORNECIMENTO E INSTALAÇÃO. AF_03/2023</t>
  </si>
  <si>
    <t>=976,79+ 766,04+976,79=</t>
  </si>
  <si>
    <t>=351,77+432,29+366,31+256,35=</t>
  </si>
  <si>
    <t>91928</t>
  </si>
  <si>
    <t>CABO DE COBRE FLEXÍVEL ISOLADO, 4 MM², ANTI-CHAMA 450/750 V, PARA CIRCUITOS TERMINAIS - FORNECIMENTO E INSTALAÇÃO. AF_03/2023</t>
  </si>
  <si>
    <t>=128,49+128,49+102,29=</t>
  </si>
  <si>
    <t>91932</t>
  </si>
  <si>
    <t>CABO DE COBRE FLEXÍVEL ISOLADO, 10 MM², ANTI-CHAMA 450/750 V, PARA CIRCUITOS TERMINAIS - FORNECIMENTO E INSTALAÇÃO. AF_03/2023</t>
  </si>
  <si>
    <t>=12,00+4,00+4,00=</t>
  </si>
  <si>
    <t>650/ORSE</t>
  </si>
  <si>
    <t>CAIXA DE PASSAGEM 20X20X12CM, EM CHAPA AÇO GALVANIZADO, EMBUTIDA</t>
  </si>
  <si>
    <t>9005069/SIURB</t>
  </si>
  <si>
    <t>CAIXA DE PASSAGEM E TAMPA PRÉ-MOLDADAS EM CONCRETO, SEM FUNDO, 30X30CM</t>
  </si>
  <si>
    <t>92866</t>
  </si>
  <si>
    <t>=73,00=</t>
  </si>
  <si>
    <t>=71,00=</t>
  </si>
  <si>
    <t>CAIXA SEXTAVADA 3" X 3", METÁLICA, INSTALADA EM LAJE - FORNECIMENTO E INSTALAÇÃO. AF_03/2023</t>
  </si>
  <si>
    <t>078389/SBC</t>
  </si>
  <si>
    <t>CONECTOR DE MEDIÇÃO E EMENDA 16 A 70MM 560 - TERMOTÉCNICA</t>
  </si>
  <si>
    <t>062568</t>
  </si>
  <si>
    <t>PLACA (ESPELHO) 1 POSTO HORIZONTAL 4x2 PIAL PLUS</t>
  </si>
  <si>
    <t>103787</t>
  </si>
  <si>
    <t>LUMINÁRIA TIPO PLAFON QUADRADA, DE EMBUTIR, COM LED DE 18 W - FORNECIMENTO E INSTALAÇÃO. AF_09/2024</t>
  </si>
  <si>
    <t>4279/ORSE</t>
  </si>
  <si>
    <t>=75,00=</t>
  </si>
  <si>
    <t>TOMADA DUPLA, DE EMBUTIR, PARA USO GERAL, 2P+T, ABNT, 10A</t>
  </si>
  <si>
    <t>101875</t>
  </si>
  <si>
    <t>QUADRO DE DISTRIBUIÇÃO DE ENERGIA EM CHAPA DE AÇO GALVANIZADO, DE EMBUTIR, COM BARRAMENTO TRIFÁSICO, PARA 12 DISJUNTORES DIN 100A - FORNECIMENTO E INSTALAÇÃO. AF_07/2025</t>
  </si>
  <si>
    <t>93653</t>
  </si>
  <si>
    <t>DISJUNTOR MONOPOLAR TIPO DIN, CORRENTE NOMINAL DE 10A - FORNECIMENTO E INSTALAÇÃO. AF_07/2025</t>
  </si>
  <si>
    <t>93654</t>
  </si>
  <si>
    <t>=23,00=</t>
  </si>
  <si>
    <t>DISJUNTOR MONOPOLAR TIPO DIN, CORRENTE NOMINAL DE 16A - FORNECIMENTO E INSTALAÇÃO. AF_07/2025</t>
  </si>
  <si>
    <t>93656</t>
  </si>
  <si>
    <t>DISJUNTOR MONOPOLAR TIPO DIN, CORRENTE NOMINAL DE 25A - FORNECIMENTO E INSTALAÇÃO. AF_07/2025</t>
  </si>
  <si>
    <t>93657</t>
  </si>
  <si>
    <t>DISJUNTOR MONOPOLAR TIPO DIN, CORRENTE NOMINAL DE 32A - FORNECIMENTO E INSTALAÇÃO. AF_07/2025</t>
  </si>
  <si>
    <t>93673</t>
  </si>
  <si>
    <t>DISJUNTOR TRIPOLAR TIPO DIN, CORRENTE NOMINAL DE 50A - FORNECIMENTO E INSTALAÇÃO. AF_07/2025</t>
  </si>
  <si>
    <t>C1117/SEINFRA</t>
  </si>
  <si>
    <t>DISJUNTOR TRIPOLAR EM QUADRO DE DISTRIBUIÇÃO 100A</t>
  </si>
  <si>
    <t>97711</t>
  </si>
  <si>
    <t>DISJUNTOR TETRAPOLAR TIPO DR, CORRENTE NOMINAL DE 40A - FORNECIMENTO E INSTALAÇÃO. AF_07/2025</t>
  </si>
  <si>
    <t>3.6.17</t>
  </si>
  <si>
    <t>3.6.18</t>
  </si>
  <si>
    <t>3.6.19</t>
  </si>
  <si>
    <t>3.6.20</t>
  </si>
  <si>
    <t>3.6.21</t>
  </si>
  <si>
    <t>3.6.22</t>
  </si>
  <si>
    <t>3.6.23</t>
  </si>
  <si>
    <t>3.6.24</t>
  </si>
  <si>
    <t>3.6.25</t>
  </si>
  <si>
    <t>3.6.26</t>
  </si>
  <si>
    <t>3.6.27</t>
  </si>
  <si>
    <t>3.6.28</t>
  </si>
  <si>
    <t>3.6.29</t>
  </si>
  <si>
    <t>3.6.30</t>
  </si>
  <si>
    <t>3.6.31</t>
  </si>
  <si>
    <t>3.6.32</t>
  </si>
  <si>
    <t>3.6.33</t>
  </si>
  <si>
    <t>3.6.34</t>
  </si>
  <si>
    <t>3.6.35</t>
  </si>
  <si>
    <t>3.6.36</t>
  </si>
  <si>
    <t>3.6.37</t>
  </si>
  <si>
    <t>3.6.38</t>
  </si>
  <si>
    <t>3.6.39</t>
  </si>
  <si>
    <t>3.6.40</t>
  </si>
  <si>
    <t>8896/ORSE</t>
  </si>
  <si>
    <t>CAIXA DE PASSAGEM PVC 15X15X8CM  ELÉTRICA, DE SOBREPOR, TIPO AQUATIC OU SIMILAR</t>
  </si>
  <si>
    <t>=7,00=</t>
  </si>
  <si>
    <t>3.7</t>
  </si>
  <si>
    <t>3.7.1</t>
  </si>
  <si>
    <t>3.7.2</t>
  </si>
  <si>
    <t>3.7.3</t>
  </si>
  <si>
    <t>3.7.4</t>
  </si>
  <si>
    <t>3.7.5</t>
  </si>
  <si>
    <t>3.7.6</t>
  </si>
  <si>
    <t>3.7.7</t>
  </si>
  <si>
    <t>3.7.8</t>
  </si>
  <si>
    <t>3.7.9</t>
  </si>
  <si>
    <t>3.7.10</t>
  </si>
  <si>
    <t>89481</t>
  </si>
  <si>
    <t>JOELHO 90 GRAUS, PVC, SOLDÁVEL, DN 25MM, INSTALADO EM PRUMADA DE ÁGUA - FORNECIMENTO E INSTALAÇÃO. AF_06/2022</t>
  </si>
  <si>
    <t>94672</t>
  </si>
  <si>
    <t>JOELHO 90 GRAUS COM BUCHA DE LATÃO, PVC, SOLDÁVEL, DN 25 MM X 3/4", INSTALADO EM RESERVAÇÃO PREDIAL DE ÁGUA - FORNECIMENTO E INSTALAÇÃO. AF_04/2024</t>
  </si>
  <si>
    <t>=1,00+1,00+1,00+1,00+1,00+1,00=</t>
  </si>
  <si>
    <t>=2,00+1,00+3,00+2,00+3,00+1,00=</t>
  </si>
  <si>
    <t>90374</t>
  </si>
  <si>
    <t>=4,00+6,00+2,00+6,00+2,00=</t>
  </si>
  <si>
    <t>89446</t>
  </si>
  <si>
    <t>TUBO, PVC, SOLDÁVEL, DE 25MM - FORNECIMENTO E INSTALAÇÃO. AF_06/2022</t>
  </si>
  <si>
    <t>89401</t>
  </si>
  <si>
    <t>TUBO, PVC, SOLDÁVEL, DE 20MM, INSTALADO EM RAMAL DE DISTRIBUIÇÃO DE ÁGUA - FORNECIMENTO E INSTALAÇÃO. AF_06/2022</t>
  </si>
  <si>
    <t>=1,44=</t>
  </si>
  <si>
    <t>103044</t>
  </si>
  <si>
    <t>REGISTRO DE ESFERA, PVC, ROSCÁVEL, COM CABEÇA QUADRADA, 3/4" - FORNECIMENTO E INSTALAÇÃO. AF_08/2021</t>
  </si>
  <si>
    <t>89397</t>
  </si>
  <si>
    <t>TÊ DE REDUÇÃO, PVC, SOLDÁVEL, DN 25MM X 20MM, INSTALADO EM RAMAL OU SUB-RAMAL DE ÁGUA - FORNECIMENTO E INSTALAÇÃO. AF_06/2022</t>
  </si>
  <si>
    <t>103957</t>
  </si>
  <si>
    <t>BUCHA DE REDUÇÃO, CURTA, PVC, SOLDÁVEL, DN 32 X 25 MM, INSTALADO EM PRUMADA DE ÁGUA - FORNECIMENTO E INSTALAÇÃO. AF_06/2022</t>
  </si>
  <si>
    <t>1073/ORSE</t>
  </si>
  <si>
    <t>BUCHA DE REDUÇÃO CURTA DE PVC RÍGIDO SOLDÁVEL, MARROM, DIÂMETRO = 40 X 32MM</t>
  </si>
  <si>
    <t>105179</t>
  </si>
  <si>
    <t>JOELHO PVC, SOLDÁVEL, 45 GRAUS, DN 32 MM, INSTALADO EM RESERVAÇÃO PREDIAL DE ÁGUA - FORNECIMENTO E INSTALAÇÃO. AF_04/2024</t>
  </si>
  <si>
    <t>=3,00+1,00+3,00+1,00+3,00+ 1,00+2,00+7,00=</t>
  </si>
  <si>
    <t>89492</t>
  </si>
  <si>
    <t>JOELHO 90 GRAUS, PVC, SOLDÁVEL, DN 32MM, INSTALADO EM PRUMADA DE ÁGUA - FORNECIMENTO E INSTALAÇÃO. AF_06/2022</t>
  </si>
  <si>
    <t>89622</t>
  </si>
  <si>
    <t>TÊ DE REDUÇÃO, PVC, SOLDÁVEL, DN 32MM X 25MM, INSTALADO EM PRUMADA DE ÁGUA - FORNECIMENTO E INSTALAÇÃO. AF_06/2022</t>
  </si>
  <si>
    <t>89624</t>
  </si>
  <si>
    <t>TÊ DE REDUÇÃO, PVC, SOLDÁVEL, DN 40MM X 32MM, INSTALADO EM PRUMADA DE ÁGUA - FORNECIMENTO E INSTALAÇÃO. AF_06/2022</t>
  </si>
  <si>
    <t>=1,00+2,00+1,00+2,00+2,00=</t>
  </si>
  <si>
    <t>89620</t>
  </si>
  <si>
    <t>89623</t>
  </si>
  <si>
    <t>TÊ, PVC, SOLDÁVEL, DN 32MM, INSTALADO EM PRUMADA DE ÁGUA - FORNECIMENTO E INSTALAÇÃO. AF_06/2022</t>
  </si>
  <si>
    <t>TÊ, PVC, SOLDÁVEL, DN 40MM, INSTALADO EM PRUMADA DE ÁGUA - FORNECIMENTO E INSTALAÇÃO. AF_06/2022</t>
  </si>
  <si>
    <t>=9,90+ 4,31+9,57+3,67+8,29+4,97+8,46=</t>
  </si>
  <si>
    <t>89447</t>
  </si>
  <si>
    <t>TUBO, PVC, SOLDÁVEL, DE 32MM - FORNECIMENTO E INSTALAÇÃO. AF_06/2022</t>
  </si>
  <si>
    <t>=22,17=</t>
  </si>
  <si>
    <t>89448</t>
  </si>
  <si>
    <t>TUBO, PVC, SOLDÁVEL, DE 40MM - FORNECIMENTO E INSTALAÇÃO. AF_06/2022</t>
  </si>
  <si>
    <t>0,15=</t>
  </si>
  <si>
    <t>3.8</t>
  </si>
  <si>
    <t>INSTALAÇÕES SANITÁRIAS</t>
  </si>
  <si>
    <t>=29,04+33,23=</t>
  </si>
  <si>
    <t>=9,31+18,04=</t>
  </si>
  <si>
    <t>=73,25+7,93=</t>
  </si>
  <si>
    <t>=10,00+10,00=</t>
  </si>
  <si>
    <t>=5,00+6,00=</t>
  </si>
  <si>
    <t>=17,00+18,00=</t>
  </si>
  <si>
    <t>=8,00+18,00=</t>
  </si>
  <si>
    <t>=9,00+9,00=</t>
  </si>
  <si>
    <t>=7,00+7,00=</t>
  </si>
  <si>
    <t>CAIXA DE GORDURA SIMPLES, CIRCULAR, EM CONCRETO PRÉ-MOLDADO, DIÂMETRO INTERNO = 0,4 M, ALTURA INTERNA = 0,4 M. AF_12/2020</t>
  </si>
  <si>
    <t>BUCHA DE REDUÇÃO, LONGA, PVC, SOLDÁVEL, DN 40 X 25 MM, INSTALADO EM RAMAL DE DISTRIBUIÇÃO DE ÁGUA - FORNECIMENTO E INSTALAÇÃO. AF_06/2022</t>
  </si>
  <si>
    <t>JOELHO 45 GRAUS, PVC, SÉRIE NORMAL, ESGOTO PREDIAL, DN 100 MM, JUNTA ELÁSTICA, FORNECIDO E INSTALADO EM RAMAL DE DESCARGA OU RAMAL DE ESGOTO SANITÁRIO. AF_08/2022</t>
  </si>
  <si>
    <t>=11,00+9,00=</t>
  </si>
  <si>
    <t>JOELHO 45 GRAUS, PVC, SÉRIE NORMAL, ESGOTO PREDIAL, DN 50 MM, JUNTA ELÁSTICA, FORNECIDO E INSTALADO. AF_08/2022</t>
  </si>
  <si>
    <t>=14,00+13,00=</t>
  </si>
  <si>
    <t>JUNÇÃO SIMPLES, PVC, SÉRIE NORMAL, ESGOTO PREDIAL, DN 100 X 100 MM, JUNTA ELÁSTICA, FORNECIDO E INSTALADO EM RAMAL DE DESCARGA OU RAMAL DE ESGOTO SANITÁRIO. AF_08/2022</t>
  </si>
  <si>
    <t>=3,00+4,00=</t>
  </si>
  <si>
    <t>JUNÇÃO SIMPLES, PVC, SÉRIE NORMAL, ESGOTO PREDIAL, DN 50 X 50 MM, JUNTA ELÁSTICA, FORNECIDO E INSTALADO. AF_08/2022</t>
  </si>
  <si>
    <t>LUVA SIMPLES, PVC, SÉRIE NORMAL, ESGOTO PREDIAL, DN 100 MM, JUNTA ELÁSTICA, FORNECIDO E INSTALADO EM RAMAL DE DESCARGA OU RAMAL DE ESGOTO SANITÁRIO. AF_08/2022</t>
  </si>
  <si>
    <t>=24,00+17,00=</t>
  </si>
  <si>
    <t>LUVA SIMPLES, PVC, SÉRIE NORMAL, ESGOTO PREDIAL, DN 50 MM, JUNTA ELÁSTICA, FORNECIDO E INSTALADO. AF_08/2022</t>
  </si>
  <si>
    <t>=12,00+19,00=</t>
  </si>
  <si>
    <t>1588/ORSE</t>
  </si>
  <si>
    <t>TÊ SANITÁRIO EM PVC RÍGIDO SOLDÁVEL, PARA ESGOTO PRIMÁRIO, DN 100 X 50MM</t>
  </si>
  <si>
    <t>=1,00+3,00=</t>
  </si>
  <si>
    <t>=5,00+5,00=</t>
  </si>
  <si>
    <t>TÊ, PVC, SÉRIE NORMAL, ESGOTO PREDIAL, DN 50 X 50 MM, JUNTA ELÁSTICA, FORNECIDO E INSTALADO EM PRUMADA DE ESGOTO SANITÁRIO OU VENTILAÇÃO. AF_08/2022</t>
  </si>
  <si>
    <t>TÊ, PVC, SÉRIE NORMAL, ESGOTO PREDIAL, DN 40 X 40 MM, JUNTA SOLDÁVEL, FORNECIDO E INSTALADO EM RAMAL DE DESCARGA OU RAMAL DE ESGOTO SANITÁRIO. AF_08/2022</t>
  </si>
  <si>
    <t>JUNÇÃO SIMPLES, PVC, SÉRIE NORMAL, ESGOTO PREDIAL, DN 40 MM, JUNTA SOLDÁVEL, FORNECIDO E INSTALADO EM RAMAL DE DESCARGA OU RAMAL DE ESGOTO SANITÁRIO. AF_08/2022</t>
  </si>
  <si>
    <t>53358/SBC</t>
  </si>
  <si>
    <t>REDUÇÃO EXCÊNTRICA PVC ESGOTO 50X40MM</t>
  </si>
  <si>
    <t>3.8.1</t>
  </si>
  <si>
    <t>3.8.2</t>
  </si>
  <si>
    <t>3.8.3</t>
  </si>
  <si>
    <t>3.8.4</t>
  </si>
  <si>
    <t>3.8.5</t>
  </si>
  <si>
    <t>3.8.6</t>
  </si>
  <si>
    <t>3.8.7</t>
  </si>
  <si>
    <t>3.8.8</t>
  </si>
  <si>
    <t>3.8.9</t>
  </si>
  <si>
    <t>3.8.10</t>
  </si>
  <si>
    <t>3.8.11</t>
  </si>
  <si>
    <t>3.8.12</t>
  </si>
  <si>
    <t>3.8.13</t>
  </si>
  <si>
    <t>3.8.14</t>
  </si>
  <si>
    <t>3.8.15</t>
  </si>
  <si>
    <t>3.8.16</t>
  </si>
  <si>
    <t>3.8.17</t>
  </si>
  <si>
    <t>3.8.18</t>
  </si>
  <si>
    <t>3.8.19</t>
  </si>
  <si>
    <t>3.8.20</t>
  </si>
  <si>
    <t>3.8.21</t>
  </si>
  <si>
    <t>3.8.22</t>
  </si>
  <si>
    <t>3.8.23</t>
  </si>
  <si>
    <t>3.9</t>
  </si>
  <si>
    <t>3.9.1</t>
  </si>
  <si>
    <t>3.9.2</t>
  </si>
  <si>
    <t>3.9.3</t>
  </si>
  <si>
    <t>3.9.4</t>
  </si>
  <si>
    <t>3.9.5</t>
  </si>
  <si>
    <t>3.9.6</t>
  </si>
  <si>
    <t>=12,00=</t>
  </si>
  <si>
    <t>TANQUE DE LOUÇA BRANCA SUSPENSO, 18L OU EQUIVALENTE, INCLUSO SIFÃO TIPO GARRAFA EM PVC, VÁLVULA PLÁSTICA E TORNEIRA DE METAL CROMADO PADRÃO POPULAR - FORNECIMENTO E INSTALAÇÃO. AF_01/2020</t>
  </si>
  <si>
    <t>3.9.7</t>
  </si>
  <si>
    <t>Escadas</t>
  </si>
  <si>
    <t>=373,16 (soma das áreas internas dos ambientes, à exceção dos banheiros) + 10,19 (escadas) =</t>
  </si>
  <si>
    <t>BANCADA MÁRMORE BRANCO 150 X 60 CM, COM CUBA DE EMBUTIR DE AÇO, VÁLVULA AMERICANA E SIFÃO TIPO GARRAFA EM METAL, ENGATE FLEXÍVEL 30 CM, TORNEIRA CROMADA, DE MESA, 1/2" OU 3/4", PARA PIA COZINHA, PADRÃO ALTO - FORNECIMENTO E INSTALAÇÃO. AF_01/2020</t>
  </si>
  <si>
    <t>3.10</t>
  </si>
  <si>
    <t>3.10.1</t>
  </si>
  <si>
    <t>3.10.2</t>
  </si>
  <si>
    <t>3.10.3</t>
  </si>
  <si>
    <t>3.10.4</t>
  </si>
  <si>
    <t>3.10.5</t>
  </si>
  <si>
    <t>3.10.6</t>
  </si>
  <si>
    <t>MASSA ÚNICA, EM ARGAMASSA TRAÇO 1:2:8, PREPARO MECÂNICO, APLICADA MANUALMENTE EM TETO, E = 10MM, COM TALISCAS. AF_03/2024 (BEIRAIS)</t>
  </si>
  <si>
    <t>=100,77 (área dos beirais) + 92,99 (extensão de beirais) x 0,13 (espessura da laje)=</t>
  </si>
  <si>
    <t>EMASSAMENTO COM MASSA LÁTEX, APLICAÇÃO EM PAREDE, UMA DEMÃO, LIXAMENTO MANUAL. AF_04/2023</t>
  </si>
  <si>
    <t>=19,80 (soma dos perímetros da ampliação) x 3,00 (altura) - 35,64 (revestimento cerâmico)=</t>
  </si>
  <si>
    <t>=454,61 (soma das áreas internas da edificação) + 10,19 (teto da área das escadas) + 112,85 (beirais)=</t>
  </si>
  <si>
    <t>Subsolo</t>
  </si>
  <si>
    <t>3.11</t>
  </si>
  <si>
    <t>PREVENÇÃO A INCÊNDIO</t>
  </si>
  <si>
    <t>3.11.1</t>
  </si>
  <si>
    <t>BASEADO NO ORSE 14022</t>
  </si>
  <si>
    <t>PLACA DE SINALIZAÇÃO DE COMBATE A INCÊNDIO MODELOS S1, S8 E S12, 86 X 12 CM, EM PVC 2MM, FOTOLUMINESCENTE</t>
  </si>
  <si>
    <t>14871</t>
  </si>
  <si>
    <t>3.11.2</t>
  </si>
  <si>
    <t>PLACA DE SINALIZAÇÃO DE COMBATE A INCÊNDIO MODELOS S1, S6, S12 E E5, EM PVC 2MM FOTOLUMINESCENTE</t>
  </si>
  <si>
    <t>=0,86x0,16 (área de uma placa S1, S8 e S12)) x 13 (nº de placas)  + 0,35 (área de uma placa E5) x 5 (nº de placas)=</t>
  </si>
  <si>
    <t>3.12</t>
  </si>
  <si>
    <t>COMUNICAÇÃO</t>
  </si>
  <si>
    <t>3.12.1</t>
  </si>
  <si>
    <t>9090015/SIURB</t>
  </si>
  <si>
    <t>PATCH PAINEL - 24 PORTAS - INSTALADO</t>
  </si>
  <si>
    <t>079444/SBC</t>
  </si>
  <si>
    <t>ORGANIZADOR HORIZONTAL DE CABOS 1 U, 24 PORTAS</t>
  </si>
  <si>
    <t>3.12.2</t>
  </si>
  <si>
    <t>3.12.3</t>
  </si>
  <si>
    <t>HUB TIPO 24 PORTAS</t>
  </si>
  <si>
    <t>C3760/SEINFRA</t>
  </si>
  <si>
    <t>9090017/SIURB</t>
  </si>
  <si>
    <t>SWITCH - 24 PORTAS - INSTALADO</t>
  </si>
  <si>
    <t>3.12.4</t>
  </si>
  <si>
    <t>3.12.5</t>
  </si>
  <si>
    <t>13853/ORSE</t>
  </si>
  <si>
    <t>MÓDULO ROTEADOR ENDEREÇÁVEL, WI-FIRE OU SIMILAR, MODELO WF-MR, FORNECIMENTO E INSTALAÇÃO</t>
  </si>
  <si>
    <t>059401/SBC</t>
  </si>
  <si>
    <t>PONTO EM PVC RECEPÇÃO DE REDE COMUNICAÇÃO-MODEM-COMPUTADOR</t>
  </si>
  <si>
    <t>3.12.6</t>
  </si>
  <si>
    <t>3.12.7</t>
  </si>
  <si>
    <t>3.12.8</t>
  </si>
  <si>
    <t>3.12.9</t>
  </si>
  <si>
    <t>3.12.10</t>
  </si>
  <si>
    <t>3.12.11</t>
  </si>
  <si>
    <t>3.12.12</t>
  </si>
  <si>
    <t>3.12.13</t>
  </si>
  <si>
    <t>3.12.14</t>
  </si>
  <si>
    <t>3.12.15</t>
  </si>
  <si>
    <t>3.12.16</t>
  </si>
  <si>
    <t>=42,00=</t>
  </si>
  <si>
    <t>CURVA PARA ELETRODUTO, PVC, ROSCÁVEL, DN 25 MM (3/4"), INSTALADA EM FORRO - FORNECIMENTO E INSTALAÇÃO. AF_03/2023</t>
  </si>
  <si>
    <t>CURVA 90 GRAUS PARA ELETRODUTO, PVC, ROSCÁVEL, DN 75 MM (2 1/2") - FORNECIMENTO E INSTALAÇÃO. AF_12/2021</t>
  </si>
  <si>
    <t>93022</t>
  </si>
  <si>
    <t>=153,50=</t>
  </si>
  <si>
    <t>93010</t>
  </si>
  <si>
    <t>93009</t>
  </si>
  <si>
    <t>ELETRODUTO RÍGIDO ROSCÁVEL, PVC, DN 75 MM (2 1/2"), PARA REDE DISTRIBUIÇÃO DE ENERGIA ELÉTRICA - FORNECIMENTO E INSTALAÇÃO. AF_12/2021</t>
  </si>
  <si>
    <t>=8,35+0,36=</t>
  </si>
  <si>
    <t>ELETRODUTO RÍGIDO ROSCÁVEL, PVC, DN 60 MM (2"), PARA REDE DE DISTRIBUIÇÃO DE ENERGIA ELÉTRICA - FORNECIMENTO E INSTALAÇÃO. AF_12/2021</t>
  </si>
  <si>
    <t>91867</t>
  </si>
  <si>
    <t>ELETRODUTO RÍGIDO ROSCÁVEL, PVC, DN 25 MM (3/4"), PARA CIRCUITOS TERMINAIS, INSTALADO EM LAJE - FORNECIMENTO E INSTALAÇÃO. AF_03/2023</t>
  </si>
  <si>
    <t>=92,10=</t>
  </si>
  <si>
    <t>=84,00=</t>
  </si>
  <si>
    <t>LUVA PARA ELETRODUTO, PVC, ROSCÁVEL, DN 75 MM (2 1/2"), PARA REDE  DE ENERGIA ELÉTRICA - FORNECIMENTO E INSTALAÇÃO. AF_12/2021</t>
  </si>
  <si>
    <t>93015</t>
  </si>
  <si>
    <t>97236</t>
  </si>
  <si>
    <t>ELETROCALHA LISA OU PERFURADA EM AÇO GALVANIZADO, LARGURA 50MM E ALTURA 50MM, INCLUSIVE EMENDA E FIXAÇÃO - FORNECIMENTO E INSTALAÇÃO. AF_04/2023</t>
  </si>
  <si>
    <t>=20,20 (nº de barras) x 3,00 (extensão de uma barra)=</t>
  </si>
  <si>
    <t>8682/ORSE</t>
  </si>
  <si>
    <t>FORNECIMENTO E INSTALAÇÃO DE RACK DE PISO 19" X 12U X 450MM</t>
  </si>
  <si>
    <t>CAIXA EM PVC 4"X2", INSTALADA EM PAREDE - FORNECIMENTO E INSTALAÇÃO. AF_03/2023</t>
  </si>
  <si>
    <t>7872/ORSE</t>
  </si>
  <si>
    <t>FORNECIMENTO E INSTALAÇÃO DE CAIXA DE PASSAGEM PVC 20 X 20 CM</t>
  </si>
  <si>
    <t>3.12.17</t>
  </si>
  <si>
    <t>C4932/SEINFRA</t>
  </si>
  <si>
    <t>TOMADA SIMPLES DE PISO PARA LÓGICA RJ45, 8 FIOS, CAT-6E, COMPLETA (PLACA/TAMPA EM LATÃO 4"x2", COM 1 CONECTOR, EXCETO CAIXA 4"X2")</t>
  </si>
  <si>
    <t>3.12.18</t>
  </si>
  <si>
    <t>068137/SBC</t>
  </si>
  <si>
    <t xml:space="preserve">CABO UTP CATEGORIA 5E </t>
  </si>
  <si>
    <t>3.12.19</t>
  </si>
  <si>
    <t>=1.787,96=</t>
  </si>
  <si>
    <t>4.1.1</t>
  </si>
  <si>
    <t>3.7.11</t>
  </si>
  <si>
    <t>3.7.12</t>
  </si>
  <si>
    <t>3.7.13</t>
  </si>
  <si>
    <t>3.7.14</t>
  </si>
  <si>
    <t>3.7.15</t>
  </si>
  <si>
    <t>3.7.16</t>
  </si>
  <si>
    <t>3.7.17</t>
  </si>
  <si>
    <t>3.7.18</t>
  </si>
  <si>
    <t>3.7.19</t>
  </si>
  <si>
    <t>3.7.20</t>
  </si>
  <si>
    <t>4.1.2</t>
  </si>
  <si>
    <t>4.1.3</t>
  </si>
  <si>
    <t>4.1.4</t>
  </si>
  <si>
    <t>4.1.5</t>
  </si>
  <si>
    <t>4.1.6</t>
  </si>
  <si>
    <t>4.1.7</t>
  </si>
  <si>
    <t>=381,00=</t>
  </si>
  <si>
    <t>=107,00=</t>
  </si>
  <si>
    <t>MURO DE CONTORNO</t>
  </si>
  <si>
    <t>ESCAVAÇÃO MANUAL DE VALA COM PROFUNDIDADE MENOR OU IGUAL A 1,30 M. AF_03/2016</t>
  </si>
  <si>
    <t>CONCRETO CICLÓPICO FCK = 15 MPA, 30% PEDRA DE MÃO EM VOLUME REAL, INCLUSIVE LANÇAMENTO. AF_05/2021</t>
  </si>
  <si>
    <t>REATERRO MANUAL APILOADO COM SOQUETE. AF_10/2017</t>
  </si>
  <si>
    <t>CHAPISCO APLICADO EM ALVENARIAS E ESTRUTURAS DE CONCRETO INTERNAS, COM COLHER DE PEDREIRO. ARGAMASSA TRAÇO 1:3 COM PREPARO EM BETONEIRA 400 L. AF_10/2022</t>
  </si>
  <si>
    <t>APLICAÇÃO MANUAL DE PINTURA COM TINTA LÁTEX ACRÍLICO EM PAREDES, DUAS DEMÃOS. AF_06/2014</t>
  </si>
  <si>
    <t>93358</t>
  </si>
  <si>
    <t>102487</t>
  </si>
  <si>
    <t>93382</t>
  </si>
  <si>
    <t>103328</t>
  </si>
  <si>
    <t>93205</t>
  </si>
  <si>
    <t>105034</t>
  </si>
  <si>
    <t>CINTA DE AMARRAÇÃO DE ALVENARIA MOLDADA IN LOCO COM UTILIZAÇÃO DE BLOCOS CANALETA, ESPESSURA DE 10 CM. AF_03/2024 (PARA CINTA SUPERIOR)</t>
  </si>
  <si>
    <t>=[157,96-5,00 (extensão do muro)] x 2,00 (altura) x 2 (lados)=</t>
  </si>
  <si>
    <t>87879</t>
  </si>
  <si>
    <t>87547</t>
  </si>
  <si>
    <t>ABASTECIMENTO DE ÁGUA</t>
  </si>
  <si>
    <t>RESERVATÓRIO SUPERIOR</t>
  </si>
  <si>
    <t>ALVENARIA DE VEDAÇÃO DE BLOCOS CERÂMICOS FURADOS NA HORIZONTAL DE 9X19X19 CM (ESPESSURA 9 CM) E ARGAMASSA DE ASSENTAMENTO COM PREPARO EM BETONEIRA. AF_12/2021(PARA PAREDES DE SUSTENTAÇÃO DA LAJE DE APOIO DO RESERVATÓRIO )</t>
  </si>
  <si>
    <t>101948</t>
  </si>
  <si>
    <t>LAJE PRÉ-MOLDADA UNIDIRECIONAL, BIAPOIADA, PARA PISO, ENCHIMENTO EM CERÂMICA, VIGOTA TRELIÇADA, ALTURA TOTAL DA LAJE "LT" = 20 CM (ENCHIMENTO+CAPA) = (16+4). AF_08/2025</t>
  </si>
  <si>
    <t>=2,31x2,56=</t>
  </si>
  <si>
    <t>4.1.8</t>
  </si>
  <si>
    <t>CAIXA D´ÁGUA EM POLIETILENO, 2000 LITROS - FORNECIMENTO E INSTALAÇÃO. AF_06/2021</t>
  </si>
  <si>
    <t>CARGA, MANOBRA E DESCARGA DE ENTULHO EM CAMINHÃO BASCULANTE 10 M³ - CARGA COM RETROESCAVADEIRA (CAÇAMBA DE 0,80 M³ / 111 HP) E DESCARGA LIVRE (UNIDADE: M3). AF_07/2020</t>
  </si>
  <si>
    <t>EXECUÇÃO DE PASSEIO (CALÇADA) OU PISO DE CONCRETO COM CONCRETO MOLDADO IN LOCO, FEITO EM OBRA, ACABAMENTO CONVENCIONAL, NÃO ARMADO. AF_08/2022</t>
  </si>
  <si>
    <t>LIMPEZA DE PISO CERÂMICO OU PORCELANATO COM PANO ÚMIDO. AF_04/2019</t>
  </si>
  <si>
    <t>LIMPEZA DE REVESTIMENTO CERÂMICO EM PAREDE COM PANO ÚMIDO AF_04/2019</t>
  </si>
  <si>
    <t>TOTAL PARA REFORMA E AMPLIAÇÃO DO EDIFÍCIO DA SECRETARIA MUNICIPAL DE SAÚDE&gt;&gt;&gt;&gt;&gt;&gt;&gt;&gt;&gt;&gt;&gt;&gt;&gt;&gt;&gt;&gt;</t>
  </si>
  <si>
    <t>INSTALAÇÕES HIDRÁULICAS</t>
  </si>
  <si>
    <t>TOTAL MENSAL&gt;&gt;&gt;&gt;</t>
  </si>
  <si>
    <t>TOTAL ACUMULADO&gt;&gt;&gt;</t>
  </si>
  <si>
    <t>3.10.7</t>
  </si>
  <si>
    <t>PINTURA COM TINTA ALQUÍDICA DE ACABAMENTO (ESMALTE SINTÉTICO BRILHANTE) APLICADA A ROLO OU PINCEL SOBRE PERFIL METÁLICO EXECUTADO EM FÁBRICA (POR DEMÃO). AF_01/2020</t>
  </si>
  <si>
    <t>100744</t>
  </si>
  <si>
    <t>=117,92 (teto dos sanitários)  + 100,77 (beirais)=</t>
  </si>
  <si>
    <t>=[145,20 (soma dosmperímetros internos dos banheiros, área de serviços e cozinha) x 1,80 (altura do emboço)] + 4,06 (balcão da recepção)=</t>
  </si>
  <si>
    <t>=1.066,88 (reboco demolido) + 53,45x2 (alvenaria)=</t>
  </si>
  <si>
    <t>=[145,20 (soma dos perímetros internos dos banheiros, área de serviços e cozinha) x 1,80 (altura do emboço)] + 4,06 (balcão da recepção)=</t>
  </si>
  <si>
    <t>=1.173,78 (chapisco) - 265,42 (revestimento cerâmico)=</t>
  </si>
  <si>
    <t>5.6</t>
  </si>
  <si>
    <t>5.7</t>
  </si>
  <si>
    <t>5.8</t>
  </si>
  <si>
    <t>5.9</t>
  </si>
  <si>
    <t>5.10</t>
  </si>
  <si>
    <t>5.11</t>
  </si>
  <si>
    <t>5.12</t>
  </si>
  <si>
    <t>=0,60x0,60x0,40 (volume de um bloco) x 16 (nº de blocos)=</t>
  </si>
  <si>
    <t>=0,10 x 0,30 (seção do arranque de pilar) x 1,20 (altura do arranque) x 16 (nº de pilares)=</t>
  </si>
  <si>
    <t>=0,80x0,80x1,00 (volume de um bloco) x 16 (nº de blocos) + [46 (extensão do muro) - 16,00 (área da escavação dos blocos)] x 0,30 (largura da escavação) x 0,30 (profundidade)=</t>
  </si>
  <si>
    <t>=0,80x0,80x0,60 (volume de reaterro de um bloco) x 16 (nº de blocos) - 0,10x0,30x1,20 (volume de um arranque de pilar) x 16 (nº de pilares)=</t>
  </si>
  <si>
    <t>=46,00-4,80 (extensão de sapatas) x 0,20 (largura da sapata) x 0,30 (altura média da sapata)=</t>
  </si>
  <si>
    <t>=46,00 (extensão do muro) - 4,80 (extensão correspondente aos arranques)=</t>
  </si>
  <si>
    <t>=46,00 - 4,80 (extensão do muro, com desconto dos pilares) x 1,60 (altura do muro com desconto das cintas de amarração)=</t>
  </si>
  <si>
    <t>=0,10x0,30 (seção de um pilar) x 1,60 (altura com desconto das cintas) x 16 (nº de pilares)=</t>
  </si>
  <si>
    <t>=16,00 (extensão do muro) =</t>
  </si>
  <si>
    <t>=[46,00 (extensão do muro)] x 2,00 (altura) x 2 (lados)=</t>
  </si>
  <si>
    <t>90822</t>
  </si>
  <si>
    <t>PORTA DE MADEIRA PARA PINTURA, SEMI-OCA (LEVE OU MÉDIA), 80X210CM, ESPESSURA DE 3,5CM, INCLUSO DOBRADIÇAS - FORNECIMENTO E INSTALAÇÃO. AF_12/2019</t>
  </si>
  <si>
    <t>90820</t>
  </si>
  <si>
    <t>PORTA DE MADEIRA PARA PINTURA, SEMI-OCA (LEVE OU MÉDIA), 60X210CM, ESPESSURA DE 3,5CM, INCLUSO DOBRADIÇAS - FORNECIMENTO E INSTALAÇÃO. AF_12/2019</t>
  </si>
  <si>
    <t>=0,80x2,10x1 (serviços)=</t>
  </si>
  <si>
    <t>BASEADO EM SINAPI 90794</t>
  </si>
  <si>
    <t>88629</t>
  </si>
  <si>
    <t>88261</t>
  </si>
  <si>
    <t>ARGAMASSA TRAÇO 1:3 (EM VOLUME DE CIMENTO E AREIA MÉDIA ÚMIDA), PREPARO MANUAL. AF_08/2019</t>
  </si>
  <si>
    <t>CARPINTEIRO DE ESQUADRIAS COM ENCARGOS COMPLEMENTARES</t>
  </si>
  <si>
    <t>KIT DE PORTA-PRONTA DE MADEIRA EM ACABAMENTO MELAMÍNICO BRANCO, FOLHA LEVE OU MÉDIA, E BATENTE METÁLICO, 60X180CM, FIXAÇÃO COM ARGAMASSA - FORNECIMENTO E INSTALAÇÃO. AF_12/2019</t>
  </si>
  <si>
    <t>KIT PORTA PRONTA DE MADEIRA, FOLHA LEVE (NBR 15930) DE 600 X 1800 MM OU 600 X 1800 MM, DE 35 MM A 40 MM DE ESPESSURA, COM MARCO EM AÇO, NÚCLEO COLMEIA, CAPA LISA EM HDF, ACABAMENTO MELAMÍNICO BRANCO (INCLUI MARCO, ALIZARES, DOBRADIÇAS E FECHADURA)</t>
  </si>
  <si>
    <t>=53,45 (alvenaria) x 2 (lados)=</t>
  </si>
  <si>
    <t>=106,90 (chapisco) - 35,64 (revestimento cerâmico)=</t>
  </si>
  <si>
    <t>6.1</t>
  </si>
  <si>
    <t>6.2</t>
  </si>
  <si>
    <t>6.3</t>
  </si>
  <si>
    <t>C3505/SEINFRA</t>
  </si>
  <si>
    <t>GUARDA CORPO COM CORRIMÃO EM TUBO DE AÇO GALVANIZADO 3/4"</t>
  </si>
  <si>
    <t>8928/ORSE</t>
  </si>
  <si>
    <t>REVESTIMENTO CERÂMICO PARA PISO OU PAREDE, 50 X 50 CM, ANTIDERRAPANTE (PORCELANATO), ELIZABETH OU SIMILAR, APLICADO COM ARGAMASSA INDUSTRIALIZADA AC-III, REJUNTADO, EXCLUSIVE REGULARIZAÇÃO DE BASE OU EMBOÇO</t>
  </si>
  <si>
    <t>FORRO EM PLACAS DE GESSO, PARA AMBIENTES COMERCIAIS. AF_08/2023_PS</t>
  </si>
  <si>
    <t>96113</t>
  </si>
  <si>
    <t>112180/SBC</t>
  </si>
  <si>
    <t>JANELA DE CORRER EM ALUMINIO NATURAL COM VIDRO LINHA LS MUGITEC</t>
  </si>
  <si>
    <t>2.11.1</t>
  </si>
  <si>
    <t>2.11.2</t>
  </si>
  <si>
    <t>2.11.3</t>
  </si>
  <si>
    <t>2.11.4</t>
  </si>
  <si>
    <t>2.11.5</t>
  </si>
  <si>
    <t>2.9.9</t>
  </si>
  <si>
    <t>2.9.10</t>
  </si>
  <si>
    <t>2.9.11</t>
  </si>
  <si>
    <t>2.9.12</t>
  </si>
  <si>
    <t>=435,88 (extensão de eletrodutos das paredes, conforme projeto elétrico) - 93,60 (existente)=</t>
  </si>
  <si>
    <t>C0606/SEINFRA</t>
  </si>
  <si>
    <t>CAIXA DE INSPEÇÃO EM ALVENARIA - TAMPA DE CONCRETO ESP.= 5cm</t>
  </si>
  <si>
    <t>DEMOLIÇÃO DE ARGAMASSAS, DE FORMA DE FORMA MECANIZADA COM MARTELETE, SEM REAPROVEITAMENTO. AF_09/2023</t>
  </si>
  <si>
    <t>DEMOLIÇÃO DE REVESTIMENTO CERÂMICO, DE FORMA MECANIZADA COM MARTELETE, SEM REAPROVEITAMENTO. AF_09/2023</t>
  </si>
  <si>
    <t>VASO SANITÁRIO SIFONADO COM CAIXA ACOPLADA LOUÇA BRANCA - FORNECIMENTO E INSTALAÇÃO. AF_01/2020</t>
  </si>
  <si>
    <t>104641</t>
  </si>
  <si>
    <t>PINTURA LÁTEX ACRÍLICA ECONÔMICA, APLICAÇÃO MANUAL EM PAREDES, DUAS DEMÃOS. AF_04/2023</t>
  </si>
  <si>
    <t>180588/SBC</t>
  </si>
  <si>
    <t xml:space="preserve">PINTURA PVA EM TETOS 2 DEMÃOS </t>
  </si>
  <si>
    <t>3.12.20</t>
  </si>
  <si>
    <t>2.11.6</t>
  </si>
  <si>
    <t>=10,28x26,32 + 13,86x6,57 (áreas da coberta, considerando beirais e inclinação do telhado)=</t>
  </si>
  <si>
    <t>89404</t>
  </si>
  <si>
    <t>JOELHO 90 GRAUS, PVC, SOLDÁVEL, DN 20MM, INSTALADO EM RAMAL DE DISTRIBUIÇÃO DE ÁGUA - FORNECIMENTO E INSTALAÇÃO. AF_06/2022</t>
  </si>
  <si>
    <t>=35,73x2,20x1+1,00x0,60x1 + 0,80x2,20x1 + 2,00x2,20x1 (sobre os gradis de ferro)=</t>
  </si>
  <si>
    <t>PISO PODOTÁTIL DE ALERTA OU DIRECIONAL, DE CONCRETO, ASSENTADO SOBRE ARGAMASSA. AF_03/2024</t>
  </si>
  <si>
    <t>3.11.3</t>
  </si>
  <si>
    <t>=3,53x0,56 (área do balcão da sala de reuniões) x 0,05 (espessura)=</t>
  </si>
  <si>
    <t>=[1,00x2,15x2 (sala de reuniões do pavimento superior)] x 0,12 (espessura)=</t>
  </si>
  <si>
    <t>=[581,01 (perímetro dos ambientes internos da edificação) x 1,00 (altura a demolir) +   211,50 (perímetro das paredes externas da edificação) x 6,60 (altura média) + 117,92 (soma das áreas dos tetos dos sanitários) + 100,77 (área dos beirais)] + 15,86 x 2,10 (subsolo) - 464,08 (área correspondente ao revestimento cerâmico)=</t>
  </si>
  <si>
    <t xml:space="preserve"> 88309 </t>
  </si>
  <si>
    <t xml:space="preserve"> 88316 </t>
  </si>
  <si>
    <t>CONCRETO FCK = 20MPA, TRAÇO 1:2,7:3 (EM MASSA SECA DE CIMENTO/ AREIA MÉDIA/ BRITA 1) - PREPARO MECÂNICO COM BETONEIRA 600 L. AF_05/2021</t>
  </si>
  <si>
    <t>CORTE E DOBRA DE AÇO CA-50, DIÂMETRO DE 8,0 MM. AF_06/2022</t>
  </si>
  <si>
    <t>FABRICAÇÃO DE FÔRMA PARA VIGAS, COM MADEIRA SERRADA, E = 25 MM. AF_09/2020</t>
  </si>
  <si>
    <t>DESMOLDANTE PROTETOR PARA FORMAS DE MADEIRA, DE BASE OLEOSA EMULSIONADA EM AGUA</t>
  </si>
  <si>
    <t>KG</t>
  </si>
  <si>
    <t>L</t>
  </si>
  <si>
    <t>CINTA DE AMARRAÇÃO DE ALVENARIA MOLDADA IN LOCO EM CONCRETO. AF_03/2016</t>
  </si>
  <si>
    <t>ESPAÇADOR / DISTANCIADOR CIRCULAR COM ENTRADA LATERAL, EM PLÁSTICO, PARA VERGALHÃO 4,2 A 12,5 MM, COBRIMENTO 20 MM</t>
  </si>
  <si>
    <t>0002692</t>
  </si>
  <si>
    <t>0039017</t>
  </si>
  <si>
    <t>CINTA DE AMARRAÇÃO DE ALVENARIA MOLDADA IN LOCO EM CONCRETO. AF_03/2016 (CINTA INFERIOR)</t>
  </si>
  <si>
    <t>BASEADO EM SINAPI 93204</t>
  </si>
  <si>
    <t>CINTA DE AMARRAÇÃO DE ALVENARIA MOLDADA IN LOCO EM CONCRETO, ESPESSURA 10 CM, H=20 CM (CINTA SUPERIOR)</t>
  </si>
  <si>
    <t>=8,65=</t>
  </si>
  <si>
    <t>2.4.4</t>
  </si>
  <si>
    <t>=2,00 (porta de acesso principal)=</t>
  </si>
  <si>
    <t>=6,00 (baterias de sanitários do pavimento inferior) + 6,00 (bateria de sanitários do pavimento superior)=</t>
  </si>
  <si>
    <t>3.10.8</t>
  </si>
  <si>
    <t>102220</t>
  </si>
  <si>
    <t>PINTURA TINTA DE ACABAMENTO (PIGMENTADA) ESMALTE SINTÉTICO BRILHANTE EM MADEIRA, 2 DEMÃOS. AF_01/2021 (SOBRE AS PORTAS)</t>
  </si>
  <si>
    <t>=[(0,80x2,10x21 + 0,60x2,10x3)] x 2,50=</t>
  </si>
  <si>
    <t>Portas e Janelas:</t>
  </si>
  <si>
    <t>9038/ORSE</t>
  </si>
  <si>
    <t>CORRIMÃO EM TUBO DE FERRO GALVANIZADO 1 1/2", COM CHUMBADORES PARA FIXAÇÃO EM ALVENARIA (PARA AS ESCADAS)</t>
  </si>
  <si>
    <t>=9,08 + 4,03=</t>
  </si>
  <si>
    <t>EXTINTOR DE INCÊNDIO PORTÁTIL DE PÓ SECO ABC (CARGA NOMINAL 06 KG/CAP. EXTINTORA 3A; 40-B:C)</t>
  </si>
  <si>
    <t>=0,43 (altura média dos pilaretes) x 0,20x0,20 (seção) x 4 (nº de pilaretes)=</t>
  </si>
  <si>
    <t>ALVENARIA DE EMBASAMENTO EM TIJOLO CERÂMICO FURADO 9X19X19 (PARA FECHAMENTO DA BASE DE APOIO DA CAIXA)</t>
  </si>
  <si>
    <t>=0,46x2+0,92x2 (áreas das bases)  x 0,19 (espessura da alvenaria)=</t>
  </si>
  <si>
    <t>CONCRETO ARMADO FCK=15MPA FABRICADO NA OBRA, ADENSADO E LANÇADO, PARA USO GERAL, COM FÔRMAS PLANAS EM COMPENSADO RESINADO 12MM (PARA PILARETES)</t>
  </si>
  <si>
    <t>CONCRETO ARMADO FCK=15MPA FABRICADO NA OBRA, ADENSADO E LANÇADO, PARA USO GERAL, COM FÔRMAS PLANAS EM COMPENSADO RESINADO 12MM (PARA CINTA DE AMARRAÇÃO)</t>
  </si>
  <si>
    <t>=8,00 (extensão da cinta)x 0,20x0,20 (seção da cinta)=</t>
  </si>
  <si>
    <t>=8,00 (perímetro da base de apoio da caixa)x1,82 (altura)=</t>
  </si>
  <si>
    <t>=5,13x2 (áreas das paredes laterais) + 14,79 (paredes frontal e posterior)=</t>
  </si>
  <si>
    <t>=[600,81 (soma dos perímetros das áreas internas da edificação) x 3,00 (altura) - 265,42 (revestimento cerâmico das paredes internas)] - 101,97 (área correspondente às esquadrias) + 25,05 (caixa d'água)=</t>
  </si>
  <si>
    <t>055863/SBC</t>
  </si>
  <si>
    <t>CALÇADAS</t>
  </si>
  <si>
    <t>6.1.1</t>
  </si>
  <si>
    <t>6.1.2</t>
  </si>
  <si>
    <t>LASTRO DE CONCRETO MAGRO, APLICADO EM PISOS, LAJES SOBRE SOLO OU RADIERS. AF_01/2024 (PARA O FUNDO DA VALA ESCAVADA)</t>
  </si>
  <si>
    <t xml:space="preserve">ALVENARIA DE EMBASAMENTO EM TIJOLO CERÂMICO FURADO 9X19X19 </t>
  </si>
  <si>
    <t>6.1.3</t>
  </si>
  <si>
    <t>6.1.4</t>
  </si>
  <si>
    <t>6.1.5</t>
  </si>
  <si>
    <t>=90,22 (extensão da calçada) x 0,30 (profundidade da escavação) x 0,30 (largura)=</t>
  </si>
  <si>
    <t>=90,22 (extensão da calçada) x 0,30 (profundidade da escavação) x 0,05 (largura)=</t>
  </si>
  <si>
    <t>=90,22 (extensão da calçada) x 0,40 (altura da alvenaria) x 0,19 (largura)=</t>
  </si>
  <si>
    <t>Área de concreto das calçadas:</t>
  </si>
  <si>
    <t>=62,19 (soma das áreas internas das calçadas) x 0,20 (altura do reaterro)=</t>
  </si>
  <si>
    <t>=62,19 (soma das áreas internas das calçadas) x 0,05 (altura do reaterro)=</t>
  </si>
  <si>
    <t>RAMPA (ACESSIBILIDADE)</t>
  </si>
  <si>
    <t>6.2.1</t>
  </si>
  <si>
    <t>6.2.2</t>
  </si>
  <si>
    <t>6.2.3</t>
  </si>
  <si>
    <t>6.2.4</t>
  </si>
  <si>
    <t>6.2.5</t>
  </si>
  <si>
    <t>6.2.6</t>
  </si>
  <si>
    <t>ALVENARIA DE EMBASAMENTO EM TIJOLO CERÂMICO FURADO 9X19X19</t>
  </si>
  <si>
    <t>6.2.7</t>
  </si>
  <si>
    <t>6.2.8</t>
  </si>
  <si>
    <t>Extensão das alvenarias da rampa:</t>
  </si>
  <si>
    <t>=23,56 (extensão das alvenarias) x 0,30 (largura) x0,30 (profundidade)=</t>
  </si>
  <si>
    <t>=23,56 (extensão das alvenarias) x 0,30 (largura)x0,05 (espessura do lastro)=</t>
  </si>
  <si>
    <t>Áreas das paredes da rampa:</t>
  </si>
  <si>
    <t>=20,56 (área das paredes de sustentação da rampa) x 0,19 (espessura)=</t>
  </si>
  <si>
    <t>=20,56 (área das paredes de sustentação da rampa)=</t>
  </si>
  <si>
    <t>6.2.9</t>
  </si>
  <si>
    <t>Volumes de aterro da rampa:</t>
  </si>
  <si>
    <t>=6,41x0,30 (primeiro lance) + 3,92x0,30 (primeiro patamar) + 7,32x0,60 (segundo lance) + 2,56x1,00 (2º patamar)=</t>
  </si>
  <si>
    <t>=[6,41 (primeiro lance) + 3,92 (primeiro patamar) + 7,32 (segundo lance) + 2,56(2º patamar)] x 0,05 (espessura do lastro)=</t>
  </si>
  <si>
    <t>=17,28 (extensão) x 0,25 (largura)=</t>
  </si>
  <si>
    <t>=8,71+2,31=</t>
  </si>
  <si>
    <t>6.3.1</t>
  </si>
  <si>
    <t>CALÇADAS, RAMPA E EXTENSÃO DA ESCADA DE ACESSO</t>
  </si>
  <si>
    <t>EXTENSÃO DA ESCADA DE ACESSO</t>
  </si>
  <si>
    <t>=(1,33x0,17 + 1,33x0,34 + 1,33x0,51 + 1,33x0,68 + 1,33x0,85) x 0,19=</t>
  </si>
  <si>
    <t>ALVENARIA DE EMBASAMENTO EM TIJOLO CERÂMICO FURADO 9X19X19 (PARA OS DEGRAUS)</t>
  </si>
  <si>
    <t>6.3.2</t>
  </si>
  <si>
    <t>6.3.3</t>
  </si>
  <si>
    <t>6.3.4</t>
  </si>
  <si>
    <t>=0,11x0,12 + 0,11x0,29 + 0,11x0,46 + 0,11x0,63 + 0,11x0,80=</t>
  </si>
  <si>
    <t>ATERRO MANUAL DE VALAS COM SOLO ARGILO-ARENOSO E COMPACTAÇÃO MECANIZADA. AF_05/2016 (ESPAÇO ENTRE AS PAREDES DOS DEGRAUS)</t>
  </si>
  <si>
    <t>=0,11 (área de um degrau) x 0,05 (espessura do lastro) x 5 (nº de degraus)=</t>
  </si>
  <si>
    <t>4295/ORSE</t>
  </si>
  <si>
    <t>PISO CIMENTADO DESEMPOLADO TRAÇO 1:5, E = 3 CM (SOBRE OS ESPELHOS E PISOS DOS DEGRAUS)</t>
  </si>
  <si>
    <t>=2,42 (extensão dos pisos e espelhos) x 1,33 (largura da escada)=</t>
  </si>
  <si>
    <t>=198,08 (soma dos volumes das demolições realizadas nos serviços preliminares)=</t>
  </si>
  <si>
    <t>7.1</t>
  </si>
  <si>
    <t>7.2</t>
  </si>
  <si>
    <t>7.3</t>
  </si>
  <si>
    <t>Obra:</t>
  </si>
  <si>
    <t>ORÇAMENTO SINTÉTICO</t>
  </si>
  <si>
    <t>Banco: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</si>
</sst>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\-??_);_(@_)"/>
    <numFmt numFmtId="165" formatCode="0.000"/>
    <numFmt numFmtId="166" formatCode="#,##0.0000000"/>
    <numFmt numFmtId="167" formatCode="#,##0.000"/>
    <numFmt numFmtId="168" formatCode="#,##0.00000000"/>
  </numFmts>
  <fonts count="32" x14ac:knownFonts="1">
    <font>
      <sz val="11"/>
      <color theme="1"/>
      <name val="Tw Cen MT"/>
      <family val="2"/>
    </font>
    <font>
      <sz val="11"/>
      <color theme="1"/>
      <name val="Tw Cen MT"/>
      <family val="2"/>
    </font>
    <font>
      <b/>
      <sz val="11"/>
      <color theme="1"/>
      <name val="Tw Cen MT"/>
      <family val="2"/>
    </font>
    <font>
      <b/>
      <sz val="16"/>
      <color theme="1"/>
      <name val="Tw Cen MT"/>
      <family val="2"/>
    </font>
    <font>
      <b/>
      <sz val="14"/>
      <color theme="1"/>
      <name val="Tw Cen MT"/>
      <family val="2"/>
    </font>
    <font>
      <b/>
      <sz val="10"/>
      <color theme="1"/>
      <name val="Tw Cen MT"/>
      <family val="2"/>
    </font>
    <font>
      <sz val="8"/>
      <name val="Tw Cen MT"/>
      <family val="2"/>
    </font>
    <font>
      <b/>
      <sz val="11"/>
      <name val="Tw Cen MT"/>
      <family val="2"/>
    </font>
    <font>
      <sz val="11"/>
      <name val="Tw Cen MT"/>
      <family val="2"/>
    </font>
    <font>
      <sz val="10"/>
      <name val="Arial"/>
      <family val="2"/>
    </font>
    <font>
      <b/>
      <sz val="14"/>
      <name val="Tw Cen MT"/>
      <family val="2"/>
    </font>
    <font>
      <b/>
      <sz val="9"/>
      <name val="Tw Cen MT"/>
      <family val="2"/>
    </font>
    <font>
      <b/>
      <sz val="10"/>
      <name val="Tw Cen MT"/>
      <family val="2"/>
    </font>
    <font>
      <sz val="10"/>
      <name val="Tw Cen MT"/>
      <family val="2"/>
    </font>
    <font>
      <sz val="9"/>
      <color theme="1"/>
      <name val="Tw Cen MT"/>
      <family val="2"/>
    </font>
    <font>
      <b/>
      <sz val="15"/>
      <name val="Tw Cen MT"/>
      <family val="2"/>
    </font>
    <font>
      <b/>
      <sz val="16"/>
      <name val="Tw Cen MT"/>
      <family val="2"/>
    </font>
    <font>
      <sz val="8"/>
      <color theme="1"/>
      <name val="Tw Cen MT"/>
      <family val="2"/>
    </font>
    <font>
      <b/>
      <sz val="15"/>
      <color theme="1"/>
      <name val="Tw Cen MT"/>
      <family val="2"/>
    </font>
    <font>
      <sz val="14"/>
      <color theme="1"/>
      <name val="Tw Cen MT"/>
      <family val="2"/>
    </font>
    <font>
      <sz val="10"/>
      <color theme="1"/>
      <name val="Tw Cen MT"/>
      <family val="2"/>
    </font>
    <font>
      <sz val="11"/>
      <color rgb="FF000000"/>
      <name val="Calibri"/>
      <family val="2"/>
    </font>
    <font>
      <b/>
      <sz val="10"/>
      <color indexed="8"/>
      <name val="Tw Cen MT"/>
      <family val="2"/>
    </font>
    <font>
      <sz val="10"/>
      <color indexed="8"/>
      <name val="Tw Cen MT"/>
      <family val="2"/>
    </font>
    <font>
      <b/>
      <sz val="10"/>
      <color rgb="FF000000"/>
      <name val="Tw Cen MT"/>
      <family val="2"/>
    </font>
    <font>
      <sz val="10"/>
      <color rgb="FF000000"/>
      <name val="Tw Cen MT"/>
      <family val="2"/>
    </font>
    <font>
      <b/>
      <sz val="12"/>
      <color rgb="FF000000"/>
      <name val="Tw Cen MT"/>
      <family val="2"/>
    </font>
    <font>
      <b/>
      <sz val="8"/>
      <color theme="1"/>
      <name val="Tw Cen MT"/>
      <family val="2"/>
    </font>
    <font>
      <sz val="11"/>
      <color rgb="FFFF0000"/>
      <name val="Tw Cen MT"/>
      <family val="2"/>
    </font>
    <font>
      <b/>
      <sz val="12"/>
      <color theme="1"/>
      <name val="Tw Cen MT"/>
      <family val="2"/>
    </font>
    <font>
      <sz val="11"/>
      <color theme="0"/>
      <name val="Tw Cen MT"/>
      <family val="2"/>
    </font>
    <font>
      <b/>
      <sz val="11"/>
      <color theme="0"/>
      <name val="Tw Cen MT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5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0" fontId="21" fillId="0" borderId="0"/>
  </cellStyleXfs>
  <cellXfs count="283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49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0" xfId="0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12" fillId="4" borderId="1" xfId="1" applyFont="1" applyFill="1" applyBorder="1" applyAlignment="1">
      <alignment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vertical="center" wrapText="1"/>
    </xf>
    <xf numFmtId="39" fontId="14" fillId="6" borderId="1" xfId="2" applyNumberFormat="1" applyFont="1" applyFill="1" applyBorder="1" applyAlignment="1" applyProtection="1">
      <alignment horizontal="center" vertical="center"/>
    </xf>
    <xf numFmtId="2" fontId="13" fillId="7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13" fillId="0" borderId="0" xfId="1" applyNumberFormat="1" applyFont="1" applyAlignment="1">
      <alignment vertical="center"/>
    </xf>
    <xf numFmtId="0" fontId="12" fillId="0" borderId="1" xfId="1" applyFont="1" applyBorder="1" applyAlignment="1">
      <alignment horizontal="center" vertical="center"/>
    </xf>
    <xf numFmtId="164" fontId="13" fillId="8" borderId="1" xfId="3" applyFont="1" applyFill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10" fontId="16" fillId="0" borderId="0" xfId="2" applyNumberFormat="1" applyFont="1" applyFill="1" applyBorder="1" applyAlignment="1" applyProtection="1">
      <alignment vertical="center"/>
    </xf>
    <xf numFmtId="164" fontId="16" fillId="0" borderId="0" xfId="3" applyFont="1" applyAlignment="1">
      <alignment vertical="center"/>
    </xf>
    <xf numFmtId="0" fontId="13" fillId="0" borderId="6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49" fontId="1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2" fillId="9" borderId="1" xfId="4" applyFont="1" applyFill="1" applyBorder="1" applyAlignment="1">
      <alignment horizontal="center" vertical="center" wrapText="1"/>
    </xf>
    <xf numFmtId="0" fontId="22" fillId="9" borderId="1" xfId="4" applyFont="1" applyFill="1" applyBorder="1" applyAlignment="1">
      <alignment horizontal="left" vertical="center" wrapText="1"/>
    </xf>
    <xf numFmtId="4" fontId="22" fillId="9" borderId="1" xfId="4" applyNumberFormat="1" applyFont="1" applyFill="1" applyBorder="1" applyAlignment="1">
      <alignment horizontal="center" vertical="center" wrapText="1"/>
    </xf>
    <xf numFmtId="0" fontId="23" fillId="10" borderId="1" xfId="4" applyFont="1" applyFill="1" applyBorder="1" applyAlignment="1">
      <alignment horizontal="center" vertical="center" wrapText="1"/>
    </xf>
    <xf numFmtId="49" fontId="23" fillId="10" borderId="1" xfId="4" applyNumberFormat="1" applyFont="1" applyFill="1" applyBorder="1" applyAlignment="1">
      <alignment horizontal="center" vertical="center" wrapText="1"/>
    </xf>
    <xf numFmtId="0" fontId="23" fillId="10" borderId="1" xfId="4" applyFont="1" applyFill="1" applyBorder="1" applyAlignment="1">
      <alignment horizontal="left" vertical="center" wrapText="1"/>
    </xf>
    <xf numFmtId="166" fontId="23" fillId="10" borderId="1" xfId="4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0" fillId="0" borderId="0" xfId="0" applyNumberFormat="1"/>
    <xf numFmtId="4" fontId="2" fillId="2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2" fillId="3" borderId="1" xfId="0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/>
    </xf>
    <xf numFmtId="49" fontId="24" fillId="11" borderId="1" xfId="0" applyNumberFormat="1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vertical="center" wrapText="1"/>
    </xf>
    <xf numFmtId="4" fontId="24" fillId="11" borderId="1" xfId="0" applyNumberFormat="1" applyFont="1" applyFill="1" applyBorder="1" applyAlignment="1">
      <alignment vertical="center"/>
    </xf>
    <xf numFmtId="4" fontId="24" fillId="11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justify" vertical="center"/>
    </xf>
    <xf numFmtId="0" fontId="25" fillId="0" borderId="1" xfId="0" applyFont="1" applyBorder="1" applyAlignment="1">
      <alignment vertical="center"/>
    </xf>
    <xf numFmtId="4" fontId="26" fillId="2" borderId="1" xfId="0" applyNumberFormat="1" applyFont="1" applyFill="1" applyBorder="1" applyAlignment="1">
      <alignment horizontal="center" vertical="center"/>
    </xf>
    <xf numFmtId="0" fontId="12" fillId="12" borderId="1" xfId="4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165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/>
    </xf>
    <xf numFmtId="4" fontId="27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/>
    </xf>
    <xf numFmtId="4" fontId="17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5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4" fontId="24" fillId="3" borderId="1" xfId="0" applyNumberFormat="1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 wrapText="1"/>
    </xf>
    <xf numFmtId="4" fontId="2" fillId="14" borderId="1" xfId="0" applyNumberFormat="1" applyFont="1" applyFill="1" applyBorder="1" applyAlignment="1">
      <alignment horizontal="center" vertical="center"/>
    </xf>
    <xf numFmtId="4" fontId="0" fillId="14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/>
    </xf>
    <xf numFmtId="0" fontId="7" fillId="14" borderId="1" xfId="0" applyFont="1" applyFill="1" applyBorder="1" applyAlignment="1">
      <alignment horizontal="justify" vertical="center"/>
    </xf>
    <xf numFmtId="0" fontId="2" fillId="1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/>
    </xf>
    <xf numFmtId="0" fontId="7" fillId="14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left"/>
    </xf>
    <xf numFmtId="0" fontId="2" fillId="14" borderId="1" xfId="0" applyFont="1" applyFill="1" applyBorder="1"/>
    <xf numFmtId="4" fontId="5" fillId="14" borderId="1" xfId="0" applyNumberFormat="1" applyFon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49" fontId="0" fillId="0" borderId="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3" fillId="0" borderId="9" xfId="0" applyNumberFormat="1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4" fontId="0" fillId="0" borderId="9" xfId="0" applyNumberFormat="1" applyBorder="1" applyAlignment="1"/>
    <xf numFmtId="4" fontId="0" fillId="0" borderId="0" xfId="0" applyNumberFormat="1" applyBorder="1" applyAlignment="1"/>
    <xf numFmtId="4" fontId="0" fillId="0" borderId="10" xfId="0" applyNumberFormat="1" applyBorder="1" applyAlignment="1"/>
    <xf numFmtId="17" fontId="0" fillId="0" borderId="0" xfId="0" applyNumberForma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 wrapText="1"/>
    </xf>
    <xf numFmtId="0" fontId="27" fillId="15" borderId="1" xfId="0" applyFont="1" applyFill="1" applyBorder="1" applyAlignment="1">
      <alignment horizontal="center" vertical="center" wrapText="1"/>
    </xf>
    <xf numFmtId="3" fontId="27" fillId="15" borderId="1" xfId="0" applyNumberFormat="1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4" fontId="27" fillId="14" borderId="1" xfId="0" applyNumberFormat="1" applyFont="1" applyFill="1" applyBorder="1" applyAlignment="1">
      <alignment horizontal="center" vertical="center" wrapText="1"/>
    </xf>
    <xf numFmtId="4" fontId="27" fillId="15" borderId="1" xfId="0" applyNumberFormat="1" applyFont="1" applyFill="1" applyBorder="1" applyAlignment="1">
      <alignment horizontal="center" vertical="center"/>
    </xf>
    <xf numFmtId="4" fontId="27" fillId="14" borderId="1" xfId="0" applyNumberFormat="1" applyFont="1" applyFill="1" applyBorder="1" applyAlignment="1">
      <alignment vertical="center"/>
    </xf>
    <xf numFmtId="4" fontId="27" fillId="14" borderId="1" xfId="0" applyNumberFormat="1" applyFont="1" applyFill="1" applyBorder="1" applyAlignment="1">
      <alignment horizontal="center" vertical="center"/>
    </xf>
    <xf numFmtId="3" fontId="5" fillId="1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29" fillId="0" borderId="9" xfId="0" applyNumberFormat="1" applyFont="1" applyBorder="1" applyAlignment="1">
      <alignment horizontal="center"/>
    </xf>
    <xf numFmtId="4" fontId="29" fillId="0" borderId="0" xfId="0" applyNumberFormat="1" applyFont="1" applyBorder="1" applyAlignment="1">
      <alignment horizontal="center"/>
    </xf>
    <xf numFmtId="4" fontId="29" fillId="0" borderId="1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right"/>
    </xf>
    <xf numFmtId="4" fontId="5" fillId="14" borderId="1" xfId="0" applyNumberFormat="1" applyFont="1" applyFill="1" applyBorder="1" applyAlignment="1">
      <alignment horizontal="center" vertical="center"/>
    </xf>
    <xf numFmtId="3" fontId="5" fillId="14" borderId="2" xfId="0" applyNumberFormat="1" applyFont="1" applyFill="1" applyBorder="1" applyAlignment="1">
      <alignment horizontal="center" vertical="center"/>
    </xf>
    <xf numFmtId="3" fontId="5" fillId="14" borderId="3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3" fontId="5" fillId="14" borderId="1" xfId="0" applyNumberFormat="1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right" vertical="center"/>
    </xf>
    <xf numFmtId="0" fontId="27" fillId="14" borderId="1" xfId="0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12" borderId="2" xfId="4" applyFont="1" applyFill="1" applyBorder="1" applyAlignment="1">
      <alignment horizontal="center" vertical="center" wrapText="1"/>
    </xf>
    <xf numFmtId="0" fontId="12" fillId="12" borderId="3" xfId="4" applyFont="1" applyFill="1" applyBorder="1" applyAlignment="1">
      <alignment horizontal="center" vertical="center" wrapText="1"/>
    </xf>
    <xf numFmtId="2" fontId="12" fillId="12" borderId="2" xfId="4" applyNumberFormat="1" applyFont="1" applyFill="1" applyBorder="1" applyAlignment="1">
      <alignment horizontal="center" vertical="center" wrapText="1"/>
    </xf>
    <xf numFmtId="2" fontId="12" fillId="12" borderId="3" xfId="4" applyNumberFormat="1" applyFont="1" applyFill="1" applyBorder="1" applyAlignment="1">
      <alignment horizontal="center" vertical="center" wrapText="1"/>
    </xf>
    <xf numFmtId="4" fontId="12" fillId="12" borderId="2" xfId="4" applyNumberFormat="1" applyFont="1" applyFill="1" applyBorder="1" applyAlignment="1">
      <alignment horizontal="center" vertical="center" wrapText="1"/>
    </xf>
    <xf numFmtId="4" fontId="12" fillId="12" borderId="3" xfId="4" applyNumberFormat="1" applyFont="1" applyFill="1" applyBorder="1" applyAlignment="1">
      <alignment horizontal="center" vertical="center" wrapText="1"/>
    </xf>
    <xf numFmtId="0" fontId="12" fillId="12" borderId="1" xfId="4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right" vertical="center"/>
    </xf>
    <xf numFmtId="0" fontId="26" fillId="2" borderId="13" xfId="0" applyFont="1" applyFill="1" applyBorder="1" applyAlignment="1">
      <alignment horizontal="right" vertical="center"/>
    </xf>
    <xf numFmtId="0" fontId="26" fillId="2" borderId="14" xfId="0" applyFont="1" applyFill="1" applyBorder="1" applyAlignment="1">
      <alignment horizontal="right" vertical="center"/>
    </xf>
    <xf numFmtId="0" fontId="13" fillId="6" borderId="9" xfId="1" applyFont="1" applyFill="1" applyBorder="1" applyAlignment="1">
      <alignment vertical="center" wrapText="1"/>
    </xf>
    <xf numFmtId="0" fontId="13" fillId="6" borderId="0" xfId="1" applyFont="1" applyFill="1" applyAlignment="1">
      <alignment vertical="center" wrapText="1"/>
    </xf>
    <xf numFmtId="0" fontId="13" fillId="6" borderId="10" xfId="1" applyFont="1" applyFill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2" fontId="13" fillId="8" borderId="1" xfId="1" applyNumberFormat="1" applyFont="1" applyFill="1" applyBorder="1" applyAlignment="1">
      <alignment horizontal="center" vertical="center"/>
    </xf>
    <xf numFmtId="0" fontId="12" fillId="6" borderId="6" xfId="1" applyFont="1" applyFill="1" applyBorder="1" applyAlignment="1">
      <alignment horizontal="center" vertical="center"/>
    </xf>
    <xf numFmtId="0" fontId="12" fillId="6" borderId="7" xfId="1" applyFont="1" applyFill="1" applyBorder="1" applyAlignment="1">
      <alignment horizontal="center" vertical="center"/>
    </xf>
    <xf numFmtId="0" fontId="12" fillId="6" borderId="8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6" borderId="4" xfId="1" applyFont="1" applyFill="1" applyBorder="1" applyAlignment="1">
      <alignment vertical="center" wrapText="1"/>
    </xf>
    <xf numFmtId="0" fontId="13" fillId="6" borderId="5" xfId="1" applyFont="1" applyFill="1" applyBorder="1" applyAlignment="1">
      <alignment vertical="center" wrapText="1"/>
    </xf>
    <xf numFmtId="0" fontId="13" fillId="6" borderId="11" xfId="1" applyFont="1" applyFill="1" applyBorder="1" applyAlignment="1">
      <alignment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0" fillId="0" borderId="0" xfId="0" applyFill="1"/>
    <xf numFmtId="4" fontId="30" fillId="0" borderId="0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/>
  </cellXfs>
  <cellStyles count="5">
    <cellStyle name="Normal" xfId="0" builtinId="0"/>
    <cellStyle name="Normal 2" xfId="1"/>
    <cellStyle name="Normal_Pesquisa no referencial 10 de maio de 2013" xfId="4"/>
    <cellStyle name="Vírgula 2" xfId="3"/>
    <cellStyle name="Vírgula 3 2" xfId="2"/>
  </cellStyles>
  <dxfs count="4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0</xdr:rowOff>
    </xdr:from>
    <xdr:to>
      <xdr:col>3</xdr:col>
      <xdr:colOff>2525948</xdr:colOff>
      <xdr:row>4</xdr:row>
      <xdr:rowOff>133350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xmlns="" id="{36E2291D-E1F2-47DD-8480-B2EF303D7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4300" y="0"/>
          <a:ext cx="1906823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</xdr:row>
      <xdr:rowOff>47625</xdr:rowOff>
    </xdr:from>
    <xdr:to>
      <xdr:col>2</xdr:col>
      <xdr:colOff>2143125</xdr:colOff>
      <xdr:row>10</xdr:row>
      <xdr:rowOff>104775</xdr:rowOff>
    </xdr:to>
    <xdr:pic>
      <xdr:nvPicPr>
        <xdr:cNvPr id="4" name="Imagem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2" t="12217" r="2985" b="18242"/>
        <a:stretch/>
      </xdr:blipFill>
      <xdr:spPr bwMode="auto">
        <a:xfrm>
          <a:off x="295275" y="771525"/>
          <a:ext cx="26479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0</xdr:row>
      <xdr:rowOff>142875</xdr:rowOff>
    </xdr:from>
    <xdr:to>
      <xdr:col>12</xdr:col>
      <xdr:colOff>228600</xdr:colOff>
      <xdr:row>4</xdr:row>
      <xdr:rowOff>19050</xdr:rowOff>
    </xdr:to>
    <xdr:pic>
      <xdr:nvPicPr>
        <xdr:cNvPr id="4" name="Imagem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2" t="12217" r="2985" b="18242"/>
        <a:stretch/>
      </xdr:blipFill>
      <xdr:spPr bwMode="auto">
        <a:xfrm>
          <a:off x="4591050" y="142875"/>
          <a:ext cx="1304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2228850</xdr:colOff>
      <xdr:row>0</xdr:row>
      <xdr:rowOff>123825</xdr:rowOff>
    </xdr:from>
    <xdr:to>
      <xdr:col>3</xdr:col>
      <xdr:colOff>4000500</xdr:colOff>
      <xdr:row>5</xdr:row>
      <xdr:rowOff>104775</xdr:rowOff>
    </xdr:to>
    <xdr:pic>
      <xdr:nvPicPr>
        <xdr:cNvPr id="4" name="Imagem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2" t="12217" r="2985" b="18242"/>
        <a:stretch/>
      </xdr:blipFill>
      <xdr:spPr bwMode="auto">
        <a:xfrm>
          <a:off x="3981450" y="123825"/>
          <a:ext cx="17716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21</xdr:row>
      <xdr:rowOff>9525</xdr:rowOff>
    </xdr:from>
    <xdr:to>
      <xdr:col>5</xdr:col>
      <xdr:colOff>0</xdr:colOff>
      <xdr:row>23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xmlns="" id="{F0DB9E3F-7B6C-447A-AEF5-9E4FC66E9B0C}"/>
            </a:ext>
          </a:extLst>
        </xdr:cNvPr>
        <xdr:cNvSpPr/>
      </xdr:nvSpPr>
      <xdr:spPr bwMode="auto">
        <a:xfrm>
          <a:off x="171450" y="5619750"/>
          <a:ext cx="3200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21</xdr:row>
      <xdr:rowOff>9525</xdr:rowOff>
    </xdr:from>
    <xdr:to>
      <xdr:col>5</xdr:col>
      <xdr:colOff>0</xdr:colOff>
      <xdr:row>23</xdr:row>
      <xdr:rowOff>142875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C5049536-72DA-48E6-B3CB-3BE2200A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619750"/>
          <a:ext cx="3200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266701</xdr:colOff>
      <xdr:row>0</xdr:row>
      <xdr:rowOff>95251</xdr:rowOff>
    </xdr:from>
    <xdr:to>
      <xdr:col>11</xdr:col>
      <xdr:colOff>361950</xdr:colOff>
      <xdr:row>3</xdr:row>
      <xdr:rowOff>104775</xdr:rowOff>
    </xdr:to>
    <xdr:pic>
      <xdr:nvPicPr>
        <xdr:cNvPr id="6" name="Imagem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2" t="12217" r="2985" b="18242"/>
        <a:stretch/>
      </xdr:blipFill>
      <xdr:spPr bwMode="auto">
        <a:xfrm>
          <a:off x="4029076" y="95251"/>
          <a:ext cx="1400174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329"/>
  <sheetViews>
    <sheetView topLeftCell="B1" zoomScaleNormal="100" workbookViewId="0">
      <selection activeCell="B8" sqref="B8:F8"/>
    </sheetView>
  </sheetViews>
  <sheetFormatPr defaultRowHeight="14.25" x14ac:dyDescent="0.2"/>
  <cols>
    <col min="1" max="1" width="4" customWidth="1"/>
    <col min="2" max="2" width="6.625" style="1" customWidth="1"/>
    <col min="3" max="3" width="36.375" style="2" customWidth="1"/>
    <col min="4" max="4" width="61.5" style="25" customWidth="1"/>
    <col min="5" max="5" width="10.75" style="12" customWidth="1"/>
    <col min="6" max="6" width="6.75" style="11" customWidth="1"/>
    <col min="8" max="8" width="14.25" customWidth="1"/>
    <col min="10" max="10" width="9" style="22"/>
  </cols>
  <sheetData>
    <row r="6" spans="2:9" x14ac:dyDescent="0.2">
      <c r="B6" s="224" t="s">
        <v>108</v>
      </c>
      <c r="C6" s="224"/>
      <c r="D6" s="224"/>
      <c r="E6" s="224"/>
      <c r="F6" s="224"/>
    </row>
    <row r="7" spans="2:9" ht="6" customHeight="1" x14ac:dyDescent="0.2"/>
    <row r="8" spans="2:9" ht="20.25" x14ac:dyDescent="0.3">
      <c r="B8" s="225" t="s">
        <v>178</v>
      </c>
      <c r="C8" s="225"/>
      <c r="D8" s="225"/>
      <c r="E8" s="225"/>
      <c r="F8" s="225"/>
    </row>
    <row r="10" spans="2:9" ht="18.75" x14ac:dyDescent="0.3">
      <c r="B10" s="226" t="s">
        <v>0</v>
      </c>
      <c r="C10" s="226"/>
      <c r="D10" s="226"/>
      <c r="E10" s="226"/>
      <c r="F10" s="226"/>
    </row>
    <row r="12" spans="2:9" x14ac:dyDescent="0.2">
      <c r="B12" s="3" t="s">
        <v>1</v>
      </c>
      <c r="C12" s="4" t="s">
        <v>2</v>
      </c>
      <c r="D12" s="26" t="s">
        <v>3</v>
      </c>
      <c r="E12" s="23" t="s">
        <v>4</v>
      </c>
      <c r="F12" s="24" t="s">
        <v>5</v>
      </c>
    </row>
    <row r="13" spans="2:9" x14ac:dyDescent="0.2">
      <c r="B13" s="5">
        <v>1</v>
      </c>
      <c r="C13" s="6" t="s">
        <v>6</v>
      </c>
      <c r="D13" s="27"/>
      <c r="E13" s="17"/>
      <c r="F13" s="15"/>
    </row>
    <row r="14" spans="2:9" ht="42.75" x14ac:dyDescent="0.2">
      <c r="B14" s="7" t="s">
        <v>7</v>
      </c>
      <c r="C14" s="8" t="s">
        <v>298</v>
      </c>
      <c r="D14" s="9" t="s">
        <v>8</v>
      </c>
      <c r="E14" s="10">
        <f>1.5*2.5</f>
        <v>3.75</v>
      </c>
      <c r="F14" s="7" t="s">
        <v>154</v>
      </c>
      <c r="G14" s="11"/>
      <c r="H14" s="11">
        <v>103689</v>
      </c>
      <c r="I14" s="12">
        <v>462.56</v>
      </c>
    </row>
    <row r="15" spans="2:9" ht="42.75" x14ac:dyDescent="0.2">
      <c r="B15" s="7" t="s">
        <v>9</v>
      </c>
      <c r="C15" s="13" t="s">
        <v>299</v>
      </c>
      <c r="D15" s="14" t="s">
        <v>174</v>
      </c>
      <c r="E15" s="10">
        <f>0.8*2.1*19+0.6*1.8*10+0.6*2.1*3</f>
        <v>46.5</v>
      </c>
      <c r="F15" s="7" t="s">
        <v>154</v>
      </c>
      <c r="G15" s="11"/>
      <c r="H15" s="11">
        <v>97644</v>
      </c>
      <c r="I15" s="12">
        <v>8.6999999999999993</v>
      </c>
    </row>
    <row r="16" spans="2:9" ht="42.75" x14ac:dyDescent="0.2">
      <c r="B16" s="7" t="s">
        <v>10</v>
      </c>
      <c r="C16" s="13" t="s">
        <v>300</v>
      </c>
      <c r="D16" s="14" t="s">
        <v>175</v>
      </c>
      <c r="E16" s="10">
        <f>1.55*1.85*13</f>
        <v>37.277500000000003</v>
      </c>
      <c r="F16" s="7" t="s">
        <v>154</v>
      </c>
      <c r="G16" s="11"/>
      <c r="H16" s="11">
        <v>97645</v>
      </c>
      <c r="I16" s="12">
        <v>22.47</v>
      </c>
    </row>
    <row r="17" spans="2:10" ht="57" x14ac:dyDescent="0.2">
      <c r="B17" s="7" t="s">
        <v>11</v>
      </c>
      <c r="C17" s="13" t="s">
        <v>301</v>
      </c>
      <c r="D17" s="14" t="s">
        <v>109</v>
      </c>
      <c r="E17" s="10">
        <v>357.84</v>
      </c>
      <c r="F17" s="7" t="s">
        <v>154</v>
      </c>
      <c r="G17" s="11"/>
      <c r="H17" s="11">
        <v>97647</v>
      </c>
      <c r="I17" s="12">
        <v>3.23</v>
      </c>
    </row>
    <row r="18" spans="2:10" ht="42.75" x14ac:dyDescent="0.2">
      <c r="B18" s="7" t="s">
        <v>12</v>
      </c>
      <c r="C18" s="13" t="s">
        <v>302</v>
      </c>
      <c r="D18" s="14" t="s">
        <v>147</v>
      </c>
      <c r="E18" s="10">
        <v>40</v>
      </c>
      <c r="F18" s="10" t="s">
        <v>41</v>
      </c>
      <c r="G18" s="11"/>
      <c r="H18" s="11">
        <v>97660</v>
      </c>
      <c r="I18" s="12">
        <v>0.6</v>
      </c>
    </row>
    <row r="19" spans="2:10" ht="42.75" x14ac:dyDescent="0.2">
      <c r="B19" s="7" t="s">
        <v>13</v>
      </c>
      <c r="C19" s="13" t="s">
        <v>303</v>
      </c>
      <c r="D19" s="14" t="s">
        <v>148</v>
      </c>
      <c r="E19" s="10">
        <v>45</v>
      </c>
      <c r="F19" s="10" t="s">
        <v>41</v>
      </c>
      <c r="G19" s="11"/>
      <c r="H19" s="11">
        <v>97665</v>
      </c>
      <c r="I19" s="12">
        <v>1.64</v>
      </c>
    </row>
    <row r="20" spans="2:10" ht="42.75" x14ac:dyDescent="0.2">
      <c r="B20" s="7" t="s">
        <v>14</v>
      </c>
      <c r="C20" s="13" t="s">
        <v>304</v>
      </c>
      <c r="D20" s="14" t="s">
        <v>149</v>
      </c>
      <c r="E20" s="10">
        <f>14+8</f>
        <v>22</v>
      </c>
      <c r="F20" s="7" t="s">
        <v>41</v>
      </c>
      <c r="G20" s="11"/>
      <c r="H20" s="11">
        <v>97663</v>
      </c>
      <c r="I20" s="12">
        <v>11.49</v>
      </c>
    </row>
    <row r="21" spans="2:10" ht="57" x14ac:dyDescent="0.2">
      <c r="B21" s="7" t="s">
        <v>16</v>
      </c>
      <c r="C21" s="13" t="s">
        <v>305</v>
      </c>
      <c r="D21" s="14" t="s">
        <v>471</v>
      </c>
      <c r="E21" s="10">
        <f>0.93*2.1*4*0.15+81.11*0.4*0.15+1*2*0.3*36</f>
        <v>27.638399999999997</v>
      </c>
      <c r="F21" s="7" t="s">
        <v>191</v>
      </c>
      <c r="G21" s="11"/>
      <c r="H21" s="11">
        <v>97622</v>
      </c>
      <c r="I21" s="12">
        <v>51.76</v>
      </c>
      <c r="J21" s="33"/>
    </row>
    <row r="22" spans="2:10" ht="42.75" x14ac:dyDescent="0.2">
      <c r="B22" s="7" t="s">
        <v>17</v>
      </c>
      <c r="C22" s="13" t="s">
        <v>306</v>
      </c>
      <c r="D22" s="14" t="s">
        <v>924</v>
      </c>
      <c r="E22" s="10">
        <f>(1*2.15*2)*0.12</f>
        <v>0.51600000000000001</v>
      </c>
      <c r="F22" s="7" t="s">
        <v>191</v>
      </c>
      <c r="G22" s="11"/>
      <c r="H22" s="11" t="s">
        <v>281</v>
      </c>
      <c r="I22" s="12">
        <v>40.700000000000003</v>
      </c>
      <c r="J22" s="33"/>
    </row>
    <row r="23" spans="2:10" ht="42.75" x14ac:dyDescent="0.2">
      <c r="B23" s="7" t="s">
        <v>94</v>
      </c>
      <c r="C23" s="13" t="s">
        <v>307</v>
      </c>
      <c r="D23" s="14" t="s">
        <v>923</v>
      </c>
      <c r="E23" s="10">
        <f>3.53*0.56*0.05</f>
        <v>9.8840000000000011E-2</v>
      </c>
      <c r="F23" s="7" t="s">
        <v>191</v>
      </c>
      <c r="G23" s="11"/>
      <c r="H23" s="11">
        <v>97629</v>
      </c>
      <c r="I23" s="12">
        <v>61.22</v>
      </c>
      <c r="J23" s="33"/>
    </row>
    <row r="24" spans="2:10" ht="71.25" x14ac:dyDescent="0.2">
      <c r="B24" s="7" t="s">
        <v>104</v>
      </c>
      <c r="C24" s="8" t="s">
        <v>908</v>
      </c>
      <c r="D24" s="14" t="s">
        <v>925</v>
      </c>
      <c r="E24" s="10">
        <f>(581.01*1+211.5*6.6+117.92+100.77+15.86*2.1)-E25</f>
        <v>1764.826</v>
      </c>
      <c r="F24" s="7" t="s">
        <v>154</v>
      </c>
      <c r="G24" s="11"/>
      <c r="H24" s="11">
        <v>104791</v>
      </c>
      <c r="I24" s="12">
        <v>4.82</v>
      </c>
      <c r="J24" s="147"/>
    </row>
    <row r="25" spans="2:10" ht="57" x14ac:dyDescent="0.2">
      <c r="B25" s="7" t="s">
        <v>105</v>
      </c>
      <c r="C25" s="13" t="s">
        <v>909</v>
      </c>
      <c r="D25" s="14" t="s">
        <v>176</v>
      </c>
      <c r="E25" s="10">
        <f>117.92*3+34.58*2+41.16</f>
        <v>464.07999999999993</v>
      </c>
      <c r="F25" s="7" t="s">
        <v>154</v>
      </c>
      <c r="G25" s="11"/>
      <c r="H25" s="11">
        <v>97634</v>
      </c>
      <c r="I25" s="12">
        <v>5.52</v>
      </c>
    </row>
    <row r="26" spans="2:10" x14ac:dyDescent="0.2">
      <c r="B26" s="7" t="s">
        <v>106</v>
      </c>
      <c r="C26" s="13" t="s">
        <v>308</v>
      </c>
      <c r="D26" s="14" t="s">
        <v>162</v>
      </c>
      <c r="E26" s="10">
        <v>26.45</v>
      </c>
      <c r="F26" s="7" t="s">
        <v>154</v>
      </c>
      <c r="G26" s="11"/>
      <c r="H26" s="11">
        <v>97634</v>
      </c>
      <c r="I26" s="12">
        <v>20.96</v>
      </c>
    </row>
    <row r="27" spans="2:10" ht="71.25" x14ac:dyDescent="0.2">
      <c r="B27" s="7" t="s">
        <v>107</v>
      </c>
      <c r="C27" s="13" t="s">
        <v>309</v>
      </c>
      <c r="D27" s="14" t="s">
        <v>177</v>
      </c>
      <c r="E27" s="10">
        <f>(77.82+10.24+62.51)*0.06</f>
        <v>9.0341999999999985</v>
      </c>
      <c r="F27" s="7" t="s">
        <v>191</v>
      </c>
      <c r="G27" s="11"/>
      <c r="H27" s="11">
        <v>104790</v>
      </c>
      <c r="I27" s="12">
        <v>89.23</v>
      </c>
      <c r="J27" s="33"/>
    </row>
    <row r="28" spans="2:10" ht="71.25" x14ac:dyDescent="0.2">
      <c r="B28" s="7" t="s">
        <v>198</v>
      </c>
      <c r="C28" s="13" t="s">
        <v>440</v>
      </c>
      <c r="D28" s="14" t="s">
        <v>208</v>
      </c>
      <c r="E28" s="10">
        <v>11</v>
      </c>
      <c r="F28" s="7" t="s">
        <v>333</v>
      </c>
      <c r="G28" s="11"/>
      <c r="H28" s="11">
        <v>99059</v>
      </c>
      <c r="I28" s="12">
        <v>59.13</v>
      </c>
    </row>
    <row r="29" spans="2:10" x14ac:dyDescent="0.2">
      <c r="B29" s="7"/>
      <c r="C29" s="13"/>
      <c r="D29" s="14"/>
      <c r="E29" s="10"/>
      <c r="F29" s="7"/>
      <c r="G29" s="11"/>
      <c r="H29" s="11"/>
      <c r="I29" s="12"/>
    </row>
    <row r="30" spans="2:10" x14ac:dyDescent="0.2">
      <c r="B30" s="15">
        <v>2</v>
      </c>
      <c r="C30" s="119" t="s">
        <v>278</v>
      </c>
      <c r="D30" s="16"/>
      <c r="E30" s="17"/>
      <c r="F30" s="15"/>
      <c r="G30" s="11"/>
      <c r="H30" s="11"/>
      <c r="I30" s="12"/>
    </row>
    <row r="31" spans="2:10" x14ac:dyDescent="0.2">
      <c r="B31" s="104" t="s">
        <v>21</v>
      </c>
      <c r="C31" s="105" t="s">
        <v>199</v>
      </c>
      <c r="D31" s="106"/>
      <c r="E31" s="107"/>
      <c r="F31" s="104"/>
      <c r="G31" s="11"/>
      <c r="H31" s="11"/>
      <c r="I31" s="12"/>
    </row>
    <row r="32" spans="2:10" ht="28.5" x14ac:dyDescent="0.2">
      <c r="B32" s="7" t="s">
        <v>200</v>
      </c>
      <c r="C32" s="13" t="s">
        <v>310</v>
      </c>
      <c r="D32" s="14" t="s">
        <v>179</v>
      </c>
      <c r="E32" s="10">
        <f>(1.2*1.2*1.14*4)+(1.7*2+1.12*2+2.55)*0.3*0.4</f>
        <v>7.549199999999999</v>
      </c>
      <c r="F32" s="7" t="s">
        <v>191</v>
      </c>
      <c r="G32" s="11"/>
      <c r="H32" s="11">
        <v>93358</v>
      </c>
      <c r="I32" s="12">
        <v>73.849999999999994</v>
      </c>
    </row>
    <row r="33" spans="2:9" ht="42.75" x14ac:dyDescent="0.2">
      <c r="B33" s="7" t="s">
        <v>201</v>
      </c>
      <c r="C33" s="13" t="s">
        <v>311</v>
      </c>
      <c r="D33" s="14" t="s">
        <v>209</v>
      </c>
      <c r="E33" s="10">
        <f>1*1*0.4*4</f>
        <v>1.6</v>
      </c>
      <c r="F33" s="7" t="s">
        <v>191</v>
      </c>
      <c r="G33" s="11"/>
      <c r="H33" s="11">
        <v>102487</v>
      </c>
      <c r="I33" s="12">
        <v>552.03</v>
      </c>
    </row>
    <row r="34" spans="2:9" ht="85.5" x14ac:dyDescent="0.2">
      <c r="B34" s="7" t="s">
        <v>202</v>
      </c>
      <c r="C34" s="8" t="s">
        <v>312</v>
      </c>
      <c r="D34" s="14" t="s">
        <v>211</v>
      </c>
      <c r="E34" s="10">
        <f>0.25*0.2*1.8*4</f>
        <v>0.36000000000000004</v>
      </c>
      <c r="F34" s="7" t="s">
        <v>191</v>
      </c>
      <c r="G34" s="11"/>
      <c r="H34" s="11" t="s">
        <v>210</v>
      </c>
      <c r="I34" s="12">
        <v>2461.61</v>
      </c>
    </row>
    <row r="35" spans="2:9" ht="42.75" x14ac:dyDescent="0.2">
      <c r="B35" s="7" t="s">
        <v>203</v>
      </c>
      <c r="C35" s="13" t="s">
        <v>313</v>
      </c>
      <c r="D35" s="14" t="s">
        <v>183</v>
      </c>
      <c r="E35" s="10">
        <f>(1.7*2+1.12*2+2.55)*0.3*0.1</f>
        <v>0.24570000000000003</v>
      </c>
      <c r="F35" s="7" t="s">
        <v>191</v>
      </c>
      <c r="G35" s="11"/>
      <c r="H35" s="11">
        <v>96620</v>
      </c>
      <c r="I35" s="12">
        <v>541.20000000000005</v>
      </c>
    </row>
    <row r="36" spans="2:9" ht="42.75" x14ac:dyDescent="0.2">
      <c r="B36" s="7" t="s">
        <v>204</v>
      </c>
      <c r="C36" s="13" t="s">
        <v>314</v>
      </c>
      <c r="D36" s="14" t="s">
        <v>196</v>
      </c>
      <c r="E36" s="10">
        <f>(2.3*2+2.55+1.7*2+3.35*2)*1.45*0.2</f>
        <v>5.0025000000000004</v>
      </c>
      <c r="F36" s="7" t="s">
        <v>191</v>
      </c>
      <c r="G36" s="11"/>
      <c r="H36" s="11" t="s">
        <v>197</v>
      </c>
      <c r="I36" s="12">
        <f>composições!H18</f>
        <v>655.38589999999999</v>
      </c>
    </row>
    <row r="37" spans="2:9" ht="42.75" x14ac:dyDescent="0.2">
      <c r="B37" s="7" t="s">
        <v>205</v>
      </c>
      <c r="C37" s="13" t="s">
        <v>938</v>
      </c>
      <c r="D37" s="14" t="s">
        <v>215</v>
      </c>
      <c r="E37" s="10">
        <f>3.35+3.55+1.5*3+0.65*2+0.9</f>
        <v>13.600000000000001</v>
      </c>
      <c r="F37" s="7" t="s">
        <v>333</v>
      </c>
      <c r="G37" s="11"/>
      <c r="H37" s="11" t="s">
        <v>197</v>
      </c>
      <c r="I37" s="12">
        <f>composições!H27</f>
        <v>100.35164000000002</v>
      </c>
    </row>
    <row r="38" spans="2:9" ht="42.75" x14ac:dyDescent="0.2">
      <c r="B38" s="7" t="s">
        <v>206</v>
      </c>
      <c r="C38" s="13" t="s">
        <v>316</v>
      </c>
      <c r="D38" s="14" t="s">
        <v>213</v>
      </c>
      <c r="E38" s="10">
        <f>1*1*0.4*2+1*1*0.6*2</f>
        <v>2</v>
      </c>
      <c r="F38" s="7" t="s">
        <v>191</v>
      </c>
      <c r="G38" s="11"/>
      <c r="H38" s="11">
        <v>93382</v>
      </c>
      <c r="I38" s="12">
        <v>22.25</v>
      </c>
    </row>
    <row r="39" spans="2:9" ht="42.75" x14ac:dyDescent="0.2">
      <c r="B39" s="7" t="s">
        <v>207</v>
      </c>
      <c r="C39" s="13" t="s">
        <v>317</v>
      </c>
      <c r="D39" s="14" t="s">
        <v>212</v>
      </c>
      <c r="E39" s="10">
        <f>8.46*1.25</f>
        <v>10.575000000000001</v>
      </c>
      <c r="F39" s="7" t="s">
        <v>191</v>
      </c>
      <c r="G39" s="11"/>
      <c r="H39" s="11">
        <v>94319</v>
      </c>
      <c r="I39" s="12">
        <v>76.08</v>
      </c>
    </row>
    <row r="40" spans="2:9" x14ac:dyDescent="0.2">
      <c r="B40" s="104" t="s">
        <v>22</v>
      </c>
      <c r="C40" s="105" t="s">
        <v>214</v>
      </c>
      <c r="D40" s="106"/>
      <c r="E40" s="107"/>
      <c r="F40" s="104"/>
      <c r="G40" s="11"/>
      <c r="H40" s="11"/>
      <c r="I40" s="12"/>
    </row>
    <row r="41" spans="2:9" ht="71.25" x14ac:dyDescent="0.2">
      <c r="B41" s="7" t="s">
        <v>221</v>
      </c>
      <c r="C41" s="21" t="s">
        <v>318</v>
      </c>
      <c r="D41" s="14" t="s">
        <v>216</v>
      </c>
      <c r="E41" s="10">
        <f>(3.35+3.55+1.5*3+0.65*2+0.9)*3+9.26*1.27+3.55*0.25</f>
        <v>53.447700000000005</v>
      </c>
      <c r="F41" s="7" t="s">
        <v>154</v>
      </c>
      <c r="G41" s="11"/>
      <c r="H41" s="11">
        <v>103328</v>
      </c>
      <c r="I41" s="12">
        <v>83.31</v>
      </c>
    </row>
    <row r="42" spans="2:9" ht="71.25" x14ac:dyDescent="0.2">
      <c r="B42" s="7" t="s">
        <v>222</v>
      </c>
      <c r="C42" s="21" t="s">
        <v>319</v>
      </c>
      <c r="D42" s="14" t="s">
        <v>217</v>
      </c>
      <c r="E42" s="10">
        <f>4.27*0.1*0.2*4</f>
        <v>0.34160000000000001</v>
      </c>
      <c r="F42" s="7" t="s">
        <v>191</v>
      </c>
      <c r="G42" s="11"/>
      <c r="H42" s="11" t="s">
        <v>210</v>
      </c>
      <c r="I42" s="12">
        <v>2461.61</v>
      </c>
    </row>
    <row r="43" spans="2:9" ht="57" x14ac:dyDescent="0.2">
      <c r="B43" s="7" t="s">
        <v>223</v>
      </c>
      <c r="C43" s="13" t="s">
        <v>940</v>
      </c>
      <c r="D43" s="14" t="s">
        <v>218</v>
      </c>
      <c r="E43" s="10">
        <f>(3.35+3.55+1.5*3+0.65*2+0.9)</f>
        <v>13.600000000000001</v>
      </c>
      <c r="F43" s="7" t="s">
        <v>333</v>
      </c>
      <c r="G43" s="11"/>
      <c r="H43" s="11" t="s">
        <v>197</v>
      </c>
      <c r="I43" s="12">
        <f>composições!H36</f>
        <v>90.976440000000011</v>
      </c>
    </row>
    <row r="44" spans="2:9" ht="71.25" x14ac:dyDescent="0.2">
      <c r="B44" s="7" t="s">
        <v>220</v>
      </c>
      <c r="C44" s="21" t="s">
        <v>320</v>
      </c>
      <c r="D44" s="14" t="s">
        <v>219</v>
      </c>
      <c r="E44" s="10">
        <f>2.7*3.85</f>
        <v>10.395000000000001</v>
      </c>
      <c r="F44" s="7" t="s">
        <v>154</v>
      </c>
      <c r="G44" s="11"/>
      <c r="H44" s="11">
        <v>101952</v>
      </c>
      <c r="I44" s="12">
        <v>112.68</v>
      </c>
    </row>
    <row r="45" spans="2:9" x14ac:dyDescent="0.2">
      <c r="B45" s="104" t="s">
        <v>180</v>
      </c>
      <c r="C45" s="105" t="s">
        <v>20</v>
      </c>
      <c r="D45" s="106"/>
      <c r="E45" s="107"/>
      <c r="F45" s="104"/>
      <c r="G45" s="11"/>
      <c r="H45" s="11"/>
      <c r="I45" s="12"/>
    </row>
    <row r="46" spans="2:9" ht="85.5" x14ac:dyDescent="0.2">
      <c r="B46" s="7" t="s">
        <v>224</v>
      </c>
      <c r="C46" s="8" t="s">
        <v>321</v>
      </c>
      <c r="D46" s="14" t="s">
        <v>232</v>
      </c>
      <c r="E46" s="10">
        <f>2.55*3.55</f>
        <v>9.0524999999999984</v>
      </c>
      <c r="F46" s="7" t="s">
        <v>154</v>
      </c>
      <c r="G46" s="11"/>
      <c r="H46" s="84" t="s">
        <v>231</v>
      </c>
      <c r="I46" s="12">
        <v>20.05</v>
      </c>
    </row>
    <row r="47" spans="2:9" ht="85.5" x14ac:dyDescent="0.2">
      <c r="B47" s="7" t="s">
        <v>225</v>
      </c>
      <c r="C47" s="8" t="s">
        <v>322</v>
      </c>
      <c r="D47" s="14" t="s">
        <v>232</v>
      </c>
      <c r="E47" s="10">
        <f>2.55*3.55</f>
        <v>9.0524999999999984</v>
      </c>
      <c r="F47" s="7" t="s">
        <v>154</v>
      </c>
      <c r="G47" s="11"/>
      <c r="H47" s="84" t="s">
        <v>233</v>
      </c>
      <c r="I47" s="12">
        <v>59.71</v>
      </c>
    </row>
    <row r="48" spans="2:9" ht="28.5" x14ac:dyDescent="0.2">
      <c r="B48" s="7" t="s">
        <v>226</v>
      </c>
      <c r="C48" s="8" t="s">
        <v>892</v>
      </c>
      <c r="D48" s="14" t="s">
        <v>234</v>
      </c>
      <c r="E48" s="10">
        <v>8.4600000000000009</v>
      </c>
      <c r="F48" s="7" t="s">
        <v>154</v>
      </c>
      <c r="G48" s="11"/>
      <c r="H48" s="84" t="s">
        <v>235</v>
      </c>
      <c r="I48" s="12">
        <v>41.56</v>
      </c>
    </row>
    <row r="49" spans="2:10" ht="42.75" x14ac:dyDescent="0.2">
      <c r="B49" s="7" t="s">
        <v>227</v>
      </c>
      <c r="C49" s="8" t="s">
        <v>323</v>
      </c>
      <c r="D49" s="14" t="s">
        <v>941</v>
      </c>
      <c r="E49" s="10">
        <v>8.65</v>
      </c>
      <c r="F49" s="7" t="s">
        <v>333</v>
      </c>
      <c r="G49" s="11"/>
      <c r="H49" s="84" t="s">
        <v>893</v>
      </c>
      <c r="I49" s="12">
        <v>45.15</v>
      </c>
    </row>
    <row r="50" spans="2:10" ht="57" x14ac:dyDescent="0.2">
      <c r="B50" s="7" t="s">
        <v>228</v>
      </c>
      <c r="C50" s="8" t="s">
        <v>324</v>
      </c>
      <c r="D50" s="14" t="s">
        <v>237</v>
      </c>
      <c r="E50" s="10">
        <v>3.55</v>
      </c>
      <c r="F50" s="7" t="s">
        <v>333</v>
      </c>
      <c r="G50" s="11"/>
      <c r="H50" s="84" t="s">
        <v>238</v>
      </c>
      <c r="I50" s="12">
        <v>71.97</v>
      </c>
    </row>
    <row r="51" spans="2:10" ht="57" x14ac:dyDescent="0.2">
      <c r="B51" s="7" t="s">
        <v>229</v>
      </c>
      <c r="C51" s="8" t="s">
        <v>325</v>
      </c>
      <c r="D51" s="14" t="s">
        <v>239</v>
      </c>
      <c r="E51" s="10">
        <v>4.2300000000000004</v>
      </c>
      <c r="F51" s="7" t="s">
        <v>333</v>
      </c>
      <c r="G51" s="11"/>
      <c r="H51" s="84" t="s">
        <v>240</v>
      </c>
      <c r="I51" s="12">
        <v>33.590000000000003</v>
      </c>
    </row>
    <row r="52" spans="2:10" ht="57" x14ac:dyDescent="0.2">
      <c r="B52" s="7" t="s">
        <v>230</v>
      </c>
      <c r="C52" s="8" t="s">
        <v>326</v>
      </c>
      <c r="D52" s="14" t="s">
        <v>37</v>
      </c>
      <c r="E52" s="10">
        <v>1</v>
      </c>
      <c r="F52" s="7" t="s">
        <v>41</v>
      </c>
      <c r="G52" s="11"/>
      <c r="H52" s="84" t="s">
        <v>241</v>
      </c>
      <c r="I52" s="12">
        <v>26.76</v>
      </c>
    </row>
    <row r="53" spans="2:10" x14ac:dyDescent="0.2">
      <c r="B53" s="111" t="s">
        <v>181</v>
      </c>
      <c r="C53" s="105" t="s">
        <v>23</v>
      </c>
      <c r="D53" s="106"/>
      <c r="E53" s="107"/>
      <c r="F53" s="104"/>
      <c r="G53" s="11"/>
      <c r="H53" s="11"/>
      <c r="I53" s="12"/>
    </row>
    <row r="54" spans="2:10" ht="99.75" x14ac:dyDescent="0.2">
      <c r="B54" s="20" t="s">
        <v>244</v>
      </c>
      <c r="C54" s="13" t="s">
        <v>327</v>
      </c>
      <c r="D54" s="14" t="s">
        <v>24</v>
      </c>
      <c r="E54" s="10">
        <v>2</v>
      </c>
      <c r="F54" s="7" t="s">
        <v>41</v>
      </c>
      <c r="G54" s="11"/>
      <c r="H54" s="18" t="s">
        <v>242</v>
      </c>
      <c r="I54" s="19">
        <v>897.93</v>
      </c>
    </row>
    <row r="55" spans="2:10" ht="42.75" x14ac:dyDescent="0.2">
      <c r="B55" s="20" t="s">
        <v>245</v>
      </c>
      <c r="C55" s="21" t="s">
        <v>435</v>
      </c>
      <c r="D55" s="14" t="s">
        <v>18</v>
      </c>
      <c r="E55" s="10">
        <v>4</v>
      </c>
      <c r="F55" s="7" t="s">
        <v>41</v>
      </c>
      <c r="G55" s="11"/>
      <c r="H55" s="18" t="s">
        <v>434</v>
      </c>
      <c r="I55" s="19">
        <v>292.72000000000003</v>
      </c>
    </row>
    <row r="56" spans="2:10" ht="85.5" x14ac:dyDescent="0.2">
      <c r="B56" s="20" t="s">
        <v>246</v>
      </c>
      <c r="C56" s="21" t="s">
        <v>328</v>
      </c>
      <c r="D56" s="14" t="s">
        <v>24</v>
      </c>
      <c r="E56" s="10">
        <v>2</v>
      </c>
      <c r="F56" s="7" t="s">
        <v>41</v>
      </c>
      <c r="G56" s="11"/>
      <c r="H56" s="18" t="s">
        <v>159</v>
      </c>
      <c r="I56" s="19">
        <v>2.95</v>
      </c>
    </row>
    <row r="57" spans="2:10" ht="28.5" x14ac:dyDescent="0.2">
      <c r="B57" s="20" t="s">
        <v>942</v>
      </c>
      <c r="C57" s="21" t="s">
        <v>895</v>
      </c>
      <c r="D57" s="14" t="s">
        <v>243</v>
      </c>
      <c r="E57" s="10">
        <f>0.8*0.4*2</f>
        <v>0.64000000000000012</v>
      </c>
      <c r="F57" s="10" t="s">
        <v>154</v>
      </c>
      <c r="G57" s="11"/>
      <c r="H57" s="18" t="s">
        <v>894</v>
      </c>
      <c r="I57" s="19">
        <v>272.56</v>
      </c>
    </row>
    <row r="58" spans="2:10" x14ac:dyDescent="0.2">
      <c r="B58" s="104" t="s">
        <v>182</v>
      </c>
      <c r="C58" s="112" t="s">
        <v>28</v>
      </c>
      <c r="D58" s="106"/>
      <c r="E58" s="107"/>
      <c r="F58" s="104"/>
      <c r="G58" s="11"/>
      <c r="H58" s="18"/>
      <c r="I58" s="19"/>
    </row>
    <row r="59" spans="2:10" ht="71.25" x14ac:dyDescent="0.2">
      <c r="B59" s="108" t="s">
        <v>247</v>
      </c>
      <c r="C59" s="83" t="s">
        <v>329</v>
      </c>
      <c r="D59" s="14" t="s">
        <v>883</v>
      </c>
      <c r="E59" s="10">
        <f>53.45*2</f>
        <v>106.9</v>
      </c>
      <c r="F59" s="7" t="s">
        <v>154</v>
      </c>
      <c r="G59" s="109"/>
      <c r="H59" s="110">
        <v>87878</v>
      </c>
      <c r="I59" s="19">
        <v>4.5999999999999996</v>
      </c>
    </row>
    <row r="60" spans="2:10" ht="42.75" x14ac:dyDescent="0.2">
      <c r="B60" s="108" t="s">
        <v>248</v>
      </c>
      <c r="C60" s="83" t="s">
        <v>442</v>
      </c>
      <c r="D60" s="14" t="s">
        <v>443</v>
      </c>
      <c r="E60" s="10">
        <f>4.23*2</f>
        <v>8.4600000000000009</v>
      </c>
      <c r="F60" s="7" t="s">
        <v>154</v>
      </c>
      <c r="G60" s="109"/>
      <c r="H60" s="110" t="s">
        <v>441</v>
      </c>
      <c r="I60" s="19">
        <v>13.35</v>
      </c>
    </row>
    <row r="61" spans="2:10" ht="114" x14ac:dyDescent="0.2">
      <c r="B61" s="108" t="s">
        <v>249</v>
      </c>
      <c r="C61" s="13" t="s">
        <v>330</v>
      </c>
      <c r="D61" s="14" t="s">
        <v>444</v>
      </c>
      <c r="E61" s="10">
        <f>19.8*1.8</f>
        <v>35.64</v>
      </c>
      <c r="F61" s="7" t="s">
        <v>154</v>
      </c>
      <c r="G61" s="11"/>
      <c r="H61" s="11">
        <v>87549</v>
      </c>
      <c r="I61" s="12">
        <v>23.17</v>
      </c>
    </row>
    <row r="62" spans="2:10" ht="99.75" x14ac:dyDescent="0.2">
      <c r="B62" s="108" t="s">
        <v>250</v>
      </c>
      <c r="C62" s="29" t="s">
        <v>891</v>
      </c>
      <c r="D62" s="14" t="s">
        <v>444</v>
      </c>
      <c r="E62" s="10">
        <f>19.8*1.8</f>
        <v>35.64</v>
      </c>
      <c r="F62" s="7" t="s">
        <v>154</v>
      </c>
      <c r="G62" s="11"/>
      <c r="H62" s="18" t="s">
        <v>890</v>
      </c>
      <c r="I62" s="12">
        <v>75.38</v>
      </c>
      <c r="J62" s="53"/>
    </row>
    <row r="63" spans="2:10" ht="99.75" x14ac:dyDescent="0.2">
      <c r="B63" s="108" t="s">
        <v>445</v>
      </c>
      <c r="C63" s="8" t="s">
        <v>331</v>
      </c>
      <c r="D63" s="14" t="s">
        <v>884</v>
      </c>
      <c r="E63" s="10">
        <f>E59-E61</f>
        <v>71.260000000000005</v>
      </c>
      <c r="F63" s="7" t="s">
        <v>154</v>
      </c>
      <c r="G63" s="11"/>
      <c r="H63" s="11">
        <v>87547</v>
      </c>
      <c r="I63" s="12">
        <v>24.27</v>
      </c>
    </row>
    <row r="64" spans="2:10" x14ac:dyDescent="0.2">
      <c r="B64" s="104" t="s">
        <v>253</v>
      </c>
      <c r="C64" s="112" t="s">
        <v>35</v>
      </c>
      <c r="D64" s="106"/>
      <c r="E64" s="107"/>
      <c r="F64" s="104"/>
      <c r="G64" s="11"/>
      <c r="H64" s="18"/>
      <c r="I64" s="19"/>
    </row>
    <row r="65" spans="2:10" ht="42.75" x14ac:dyDescent="0.2">
      <c r="B65" s="7" t="s">
        <v>254</v>
      </c>
      <c r="C65" s="13" t="s">
        <v>313</v>
      </c>
      <c r="D65" s="14" t="s">
        <v>252</v>
      </c>
      <c r="E65" s="10">
        <f>8.46*0.05</f>
        <v>0.42300000000000004</v>
      </c>
      <c r="F65" s="7" t="s">
        <v>191</v>
      </c>
      <c r="G65" s="11"/>
      <c r="H65" s="11">
        <v>96620</v>
      </c>
      <c r="I65" s="12">
        <v>713.82</v>
      </c>
    </row>
    <row r="66" spans="2:10" ht="85.5" x14ac:dyDescent="0.2">
      <c r="B66" s="7" t="s">
        <v>255</v>
      </c>
      <c r="C66" s="13" t="s">
        <v>332</v>
      </c>
      <c r="D66" s="14" t="s">
        <v>251</v>
      </c>
      <c r="E66" s="10">
        <v>8.4600000000000009</v>
      </c>
      <c r="F66" s="7" t="s">
        <v>154</v>
      </c>
      <c r="G66" s="11"/>
      <c r="H66" s="18" t="s">
        <v>103</v>
      </c>
      <c r="I66" s="19">
        <v>30.71</v>
      </c>
    </row>
    <row r="67" spans="2:10" ht="99.75" x14ac:dyDescent="0.2">
      <c r="B67" s="7" t="s">
        <v>256</v>
      </c>
      <c r="C67" s="29" t="s">
        <v>891</v>
      </c>
      <c r="D67" s="14" t="s">
        <v>251</v>
      </c>
      <c r="E67" s="10">
        <v>8.4600000000000009</v>
      </c>
      <c r="F67" s="7" t="s">
        <v>154</v>
      </c>
      <c r="G67" s="11"/>
      <c r="H67" s="18" t="s">
        <v>890</v>
      </c>
      <c r="I67" s="12">
        <v>75.38</v>
      </c>
    </row>
    <row r="68" spans="2:10" x14ac:dyDescent="0.2">
      <c r="B68" s="104" t="s">
        <v>257</v>
      </c>
      <c r="C68" s="113" t="s">
        <v>388</v>
      </c>
      <c r="D68" s="114"/>
      <c r="E68" s="107"/>
      <c r="F68" s="104"/>
      <c r="G68" s="11"/>
      <c r="H68" s="18"/>
      <c r="I68" s="19"/>
    </row>
    <row r="69" spans="2:10" ht="57" x14ac:dyDescent="0.2">
      <c r="B69" s="7" t="s">
        <v>258</v>
      </c>
      <c r="C69" s="13" t="s">
        <v>297</v>
      </c>
      <c r="D69" s="9" t="s">
        <v>334</v>
      </c>
      <c r="E69" s="10">
        <f>1.6*3</f>
        <v>4.8000000000000007</v>
      </c>
      <c r="F69" s="7" t="s">
        <v>333</v>
      </c>
      <c r="G69" s="11"/>
      <c r="H69" s="18" t="s">
        <v>296</v>
      </c>
      <c r="I69" s="12">
        <v>5.13</v>
      </c>
      <c r="J69" s="53"/>
    </row>
    <row r="70" spans="2:10" ht="57" x14ac:dyDescent="0.2">
      <c r="B70" s="7" t="s">
        <v>259</v>
      </c>
      <c r="C70" s="13" t="s">
        <v>336</v>
      </c>
      <c r="D70" s="9" t="s">
        <v>334</v>
      </c>
      <c r="E70" s="10">
        <f>1.6*3</f>
        <v>4.8000000000000007</v>
      </c>
      <c r="F70" s="7" t="s">
        <v>333</v>
      </c>
      <c r="G70" s="11"/>
      <c r="H70" s="31" t="s">
        <v>335</v>
      </c>
      <c r="I70" s="12">
        <v>13.35</v>
      </c>
    </row>
    <row r="71" spans="2:10" ht="71.25" x14ac:dyDescent="0.2">
      <c r="B71" s="7" t="s">
        <v>260</v>
      </c>
      <c r="C71" s="13" t="s">
        <v>339</v>
      </c>
      <c r="D71" s="9" t="s">
        <v>334</v>
      </c>
      <c r="E71" s="10">
        <f>1.6*3</f>
        <v>4.8000000000000007</v>
      </c>
      <c r="F71" s="7" t="s">
        <v>333</v>
      </c>
      <c r="G71" s="11"/>
      <c r="H71" s="31" t="s">
        <v>338</v>
      </c>
      <c r="I71" s="12">
        <v>13.78</v>
      </c>
    </row>
    <row r="72" spans="2:10" ht="57" x14ac:dyDescent="0.2">
      <c r="B72" s="7" t="s">
        <v>285</v>
      </c>
      <c r="C72" s="13" t="s">
        <v>341</v>
      </c>
      <c r="D72" s="9" t="s">
        <v>337</v>
      </c>
      <c r="E72" s="10">
        <f>0.97+1.35+2.95+1.85+1.35+0.96+2.71</f>
        <v>12.14</v>
      </c>
      <c r="F72" s="7" t="s">
        <v>333</v>
      </c>
      <c r="G72" s="11"/>
      <c r="H72" s="31" t="s">
        <v>340</v>
      </c>
      <c r="I72" s="12">
        <v>10.7</v>
      </c>
    </row>
    <row r="73" spans="2:10" ht="71.25" x14ac:dyDescent="0.2">
      <c r="B73" s="7" t="s">
        <v>286</v>
      </c>
      <c r="C73" s="13" t="s">
        <v>342</v>
      </c>
      <c r="D73" s="9" t="s">
        <v>344</v>
      </c>
      <c r="E73" s="10">
        <v>8</v>
      </c>
      <c r="F73" s="7" t="s">
        <v>41</v>
      </c>
      <c r="G73" s="11"/>
      <c r="H73" s="31" t="s">
        <v>343</v>
      </c>
      <c r="I73" s="12">
        <v>9.67</v>
      </c>
    </row>
    <row r="74" spans="2:10" ht="71.25" x14ac:dyDescent="0.2">
      <c r="B74" s="7" t="s">
        <v>287</v>
      </c>
      <c r="C74" s="13" t="s">
        <v>345</v>
      </c>
      <c r="D74" s="9" t="s">
        <v>344</v>
      </c>
      <c r="E74" s="10">
        <v>9</v>
      </c>
      <c r="F74" s="7" t="s">
        <v>41</v>
      </c>
      <c r="G74" s="11"/>
      <c r="H74" s="31" t="s">
        <v>346</v>
      </c>
      <c r="I74" s="12">
        <v>6.92</v>
      </c>
    </row>
    <row r="75" spans="2:10" ht="71.25" x14ac:dyDescent="0.2">
      <c r="B75" s="7" t="s">
        <v>288</v>
      </c>
      <c r="C75" s="13" t="s">
        <v>349</v>
      </c>
      <c r="D75" s="9" t="s">
        <v>24</v>
      </c>
      <c r="E75" s="10">
        <v>2</v>
      </c>
      <c r="F75" s="7" t="s">
        <v>41</v>
      </c>
      <c r="G75" s="11"/>
      <c r="H75" s="31" t="s">
        <v>347</v>
      </c>
      <c r="I75" s="12">
        <v>15.05</v>
      </c>
    </row>
    <row r="76" spans="2:10" ht="71.25" x14ac:dyDescent="0.2">
      <c r="B76" s="7" t="s">
        <v>289</v>
      </c>
      <c r="C76" s="13" t="s">
        <v>350</v>
      </c>
      <c r="D76" s="9" t="s">
        <v>24</v>
      </c>
      <c r="E76" s="10">
        <v>2</v>
      </c>
      <c r="F76" s="7" t="s">
        <v>41</v>
      </c>
      <c r="G76" s="11"/>
      <c r="H76" s="31" t="s">
        <v>348</v>
      </c>
      <c r="I76" s="12">
        <v>10.84</v>
      </c>
    </row>
    <row r="77" spans="2:10" ht="71.25" x14ac:dyDescent="0.2">
      <c r="B77" s="7" t="s">
        <v>290</v>
      </c>
      <c r="C77" s="13" t="s">
        <v>359</v>
      </c>
      <c r="D77" s="9" t="s">
        <v>37</v>
      </c>
      <c r="E77" s="10">
        <v>1</v>
      </c>
      <c r="F77" s="7" t="s">
        <v>41</v>
      </c>
      <c r="G77" s="11"/>
      <c r="H77" s="31" t="s">
        <v>358</v>
      </c>
      <c r="I77" s="12">
        <v>6.16</v>
      </c>
    </row>
    <row r="78" spans="2:10" ht="71.25" x14ac:dyDescent="0.2">
      <c r="B78" s="7" t="s">
        <v>291</v>
      </c>
      <c r="C78" s="13" t="s">
        <v>361</v>
      </c>
      <c r="D78" s="9" t="s">
        <v>24</v>
      </c>
      <c r="E78" s="10">
        <v>2</v>
      </c>
      <c r="F78" s="7" t="s">
        <v>41</v>
      </c>
      <c r="G78" s="11"/>
      <c r="H78" s="31" t="s">
        <v>360</v>
      </c>
      <c r="I78" s="12">
        <v>10.47</v>
      </c>
    </row>
    <row r="79" spans="2:10" ht="57" x14ac:dyDescent="0.2">
      <c r="B79" s="7" t="s">
        <v>292</v>
      </c>
      <c r="C79" s="13" t="s">
        <v>365</v>
      </c>
      <c r="D79" s="9" t="s">
        <v>366</v>
      </c>
      <c r="E79" s="10">
        <f>15.34*4</f>
        <v>61.36</v>
      </c>
      <c r="F79" s="7" t="s">
        <v>15</v>
      </c>
      <c r="G79" s="11"/>
      <c r="H79" s="31" t="s">
        <v>364</v>
      </c>
      <c r="I79" s="12">
        <v>3.13</v>
      </c>
    </row>
    <row r="80" spans="2:10" ht="71.25" x14ac:dyDescent="0.2">
      <c r="B80" s="7" t="s">
        <v>293</v>
      </c>
      <c r="C80" s="13" t="s">
        <v>352</v>
      </c>
      <c r="D80" s="9" t="s">
        <v>37</v>
      </c>
      <c r="E80" s="10">
        <v>1</v>
      </c>
      <c r="F80" s="7" t="s">
        <v>41</v>
      </c>
      <c r="G80" s="11"/>
      <c r="H80" s="31" t="s">
        <v>351</v>
      </c>
      <c r="I80" s="12">
        <v>45.74</v>
      </c>
    </row>
    <row r="81" spans="2:9" ht="42.75" x14ac:dyDescent="0.2">
      <c r="B81" s="7" t="s">
        <v>294</v>
      </c>
      <c r="C81" s="13" t="s">
        <v>354</v>
      </c>
      <c r="D81" s="9" t="s">
        <v>24</v>
      </c>
      <c r="E81" s="10">
        <v>2</v>
      </c>
      <c r="F81" s="7" t="s">
        <v>41</v>
      </c>
      <c r="G81" s="11"/>
      <c r="H81" s="31" t="s">
        <v>353</v>
      </c>
      <c r="I81" s="12">
        <v>60.92</v>
      </c>
    </row>
    <row r="82" spans="2:9" ht="42.75" x14ac:dyDescent="0.2">
      <c r="B82" s="7" t="s">
        <v>295</v>
      </c>
      <c r="C82" s="13" t="s">
        <v>355</v>
      </c>
      <c r="D82" s="9" t="s">
        <v>18</v>
      </c>
      <c r="E82" s="10">
        <v>4</v>
      </c>
      <c r="F82" s="7" t="s">
        <v>41</v>
      </c>
      <c r="G82" s="11"/>
      <c r="H82" s="31" t="s">
        <v>356</v>
      </c>
      <c r="I82" s="12">
        <v>78.81</v>
      </c>
    </row>
    <row r="83" spans="2:9" ht="57" x14ac:dyDescent="0.2">
      <c r="B83" s="7" t="s">
        <v>357</v>
      </c>
      <c r="C83" s="13" t="s">
        <v>363</v>
      </c>
      <c r="D83" s="9" t="s">
        <v>37</v>
      </c>
      <c r="E83" s="10">
        <v>1</v>
      </c>
      <c r="F83" s="7" t="s">
        <v>41</v>
      </c>
      <c r="G83" s="11"/>
      <c r="H83" s="31" t="s">
        <v>362</v>
      </c>
      <c r="I83" s="12">
        <v>30.25</v>
      </c>
    </row>
    <row r="84" spans="2:9" x14ac:dyDescent="0.2">
      <c r="B84" s="104" t="s">
        <v>261</v>
      </c>
      <c r="C84" s="113" t="s">
        <v>389</v>
      </c>
      <c r="D84" s="114"/>
      <c r="E84" s="107"/>
      <c r="F84" s="104"/>
      <c r="G84" s="11"/>
      <c r="H84" s="25"/>
      <c r="I84" s="12"/>
    </row>
    <row r="85" spans="2:9" ht="57" x14ac:dyDescent="0.2">
      <c r="B85" s="7" t="s">
        <v>262</v>
      </c>
      <c r="C85" s="32" t="s">
        <v>368</v>
      </c>
      <c r="D85" s="9" t="s">
        <v>412</v>
      </c>
      <c r="E85" s="10">
        <f>2*2</f>
        <v>4</v>
      </c>
      <c r="F85" s="7" t="s">
        <v>41</v>
      </c>
      <c r="G85" s="11"/>
      <c r="H85" s="25" t="s">
        <v>367</v>
      </c>
      <c r="I85" s="12">
        <v>8.2200000000000006</v>
      </c>
    </row>
    <row r="86" spans="2:9" ht="28.5" x14ac:dyDescent="0.2">
      <c r="B86" s="7" t="s">
        <v>263</v>
      </c>
      <c r="C86" s="32" t="s">
        <v>369</v>
      </c>
      <c r="D86" s="9" t="s">
        <v>412</v>
      </c>
      <c r="E86" s="10">
        <f>2*2</f>
        <v>4</v>
      </c>
      <c r="F86" s="7" t="s">
        <v>41</v>
      </c>
      <c r="G86" s="11"/>
      <c r="H86" s="25" t="s">
        <v>385</v>
      </c>
      <c r="I86" s="12">
        <v>17.690000000000001</v>
      </c>
    </row>
    <row r="87" spans="2:9" ht="42.75" x14ac:dyDescent="0.2">
      <c r="B87" s="7" t="s">
        <v>264</v>
      </c>
      <c r="C87" s="32" t="s">
        <v>371</v>
      </c>
      <c r="D87" s="9" t="s">
        <v>413</v>
      </c>
      <c r="E87" s="10">
        <f>1*2</f>
        <v>2</v>
      </c>
      <c r="F87" s="7" t="s">
        <v>41</v>
      </c>
      <c r="G87" s="11"/>
      <c r="H87" s="25" t="s">
        <v>370</v>
      </c>
      <c r="I87" s="12">
        <v>18.38</v>
      </c>
    </row>
    <row r="88" spans="2:9" ht="42.75" x14ac:dyDescent="0.2">
      <c r="B88" s="7" t="s">
        <v>265</v>
      </c>
      <c r="C88" s="32" t="s">
        <v>373</v>
      </c>
      <c r="D88" s="9" t="s">
        <v>413</v>
      </c>
      <c r="E88" s="10">
        <f>1*2</f>
        <v>2</v>
      </c>
      <c r="F88" s="7" t="s">
        <v>41</v>
      </c>
      <c r="G88" s="11"/>
      <c r="H88" s="25" t="s">
        <v>372</v>
      </c>
      <c r="I88" s="12">
        <v>6.51</v>
      </c>
    </row>
    <row r="89" spans="2:9" ht="71.25" x14ac:dyDescent="0.2">
      <c r="B89" s="7" t="s">
        <v>266</v>
      </c>
      <c r="C89" s="13" t="s">
        <v>374</v>
      </c>
      <c r="D89" s="9" t="s">
        <v>412</v>
      </c>
      <c r="E89" s="10">
        <f>2*2</f>
        <v>4</v>
      </c>
      <c r="F89" s="7" t="s">
        <v>41</v>
      </c>
      <c r="G89" s="11"/>
      <c r="H89" s="11">
        <v>90374</v>
      </c>
      <c r="I89" s="12">
        <v>20.28</v>
      </c>
    </row>
    <row r="90" spans="2:9" ht="57" x14ac:dyDescent="0.2">
      <c r="B90" s="7" t="s">
        <v>267</v>
      </c>
      <c r="C90" s="32" t="s">
        <v>375</v>
      </c>
      <c r="D90" s="9" t="s">
        <v>414</v>
      </c>
      <c r="E90" s="10">
        <f>7.96+2</f>
        <v>9.9600000000000009</v>
      </c>
      <c r="F90" s="7" t="s">
        <v>333</v>
      </c>
      <c r="G90" s="11"/>
      <c r="H90" s="11">
        <v>89446</v>
      </c>
      <c r="I90" s="12">
        <v>5.16</v>
      </c>
    </row>
    <row r="91" spans="2:9" x14ac:dyDescent="0.2">
      <c r="B91" s="104" t="s">
        <v>268</v>
      </c>
      <c r="C91" s="120" t="s">
        <v>390</v>
      </c>
      <c r="D91" s="114"/>
      <c r="E91" s="107"/>
      <c r="F91" s="104"/>
      <c r="G91" s="11"/>
      <c r="H91" s="11"/>
      <c r="I91" s="12"/>
    </row>
    <row r="92" spans="2:9" ht="71.25" x14ac:dyDescent="0.2">
      <c r="B92" s="7" t="s">
        <v>269</v>
      </c>
      <c r="C92" s="32" t="s">
        <v>396</v>
      </c>
      <c r="D92" s="9" t="s">
        <v>378</v>
      </c>
      <c r="E92" s="10">
        <v>2.36</v>
      </c>
      <c r="F92" s="7" t="s">
        <v>333</v>
      </c>
      <c r="G92" s="11"/>
      <c r="H92" s="11">
        <v>89711</v>
      </c>
      <c r="I92" s="12">
        <v>19.489999999999998</v>
      </c>
    </row>
    <row r="93" spans="2:9" ht="71.25" x14ac:dyDescent="0.2">
      <c r="B93" s="7" t="s">
        <v>270</v>
      </c>
      <c r="C93" s="32" t="s">
        <v>395</v>
      </c>
      <c r="D93" s="9" t="s">
        <v>158</v>
      </c>
      <c r="E93" s="10">
        <v>3</v>
      </c>
      <c r="F93" s="7" t="s">
        <v>333</v>
      </c>
      <c r="G93" s="11"/>
      <c r="H93" s="11">
        <v>89712</v>
      </c>
      <c r="I93" s="12">
        <v>24.95</v>
      </c>
    </row>
    <row r="94" spans="2:9" ht="71.25" x14ac:dyDescent="0.2">
      <c r="B94" s="7" t="s">
        <v>271</v>
      </c>
      <c r="C94" s="32" t="s">
        <v>400</v>
      </c>
      <c r="D94" s="9" t="s">
        <v>379</v>
      </c>
      <c r="E94" s="10">
        <f>4.94+8.97</f>
        <v>13.91</v>
      </c>
      <c r="F94" s="7" t="s">
        <v>333</v>
      </c>
      <c r="G94" s="11"/>
      <c r="H94" s="11">
        <v>89714</v>
      </c>
      <c r="I94" s="12">
        <v>34.74</v>
      </c>
    </row>
    <row r="95" spans="2:9" ht="42.75" x14ac:dyDescent="0.2">
      <c r="B95" s="7" t="s">
        <v>272</v>
      </c>
      <c r="C95" s="32" t="s">
        <v>380</v>
      </c>
      <c r="D95" s="9" t="s">
        <v>24</v>
      </c>
      <c r="E95" s="10">
        <v>2</v>
      </c>
      <c r="F95" s="7" t="s">
        <v>41</v>
      </c>
      <c r="G95" s="11"/>
      <c r="H95" s="11" t="s">
        <v>384</v>
      </c>
      <c r="I95" s="12">
        <v>35.700000000000003</v>
      </c>
    </row>
    <row r="96" spans="2:9" ht="71.25" x14ac:dyDescent="0.2">
      <c r="B96" s="7" t="s">
        <v>273</v>
      </c>
      <c r="C96" s="32" t="s">
        <v>386</v>
      </c>
      <c r="D96" s="9" t="s">
        <v>37</v>
      </c>
      <c r="E96" s="10">
        <v>1</v>
      </c>
      <c r="F96" s="7" t="s">
        <v>41</v>
      </c>
      <c r="G96" s="11"/>
      <c r="H96" s="11">
        <v>89726</v>
      </c>
      <c r="I96" s="12">
        <v>9.15</v>
      </c>
    </row>
    <row r="97" spans="2:10" ht="42.75" x14ac:dyDescent="0.2">
      <c r="B97" s="7" t="s">
        <v>274</v>
      </c>
      <c r="C97" s="32" t="s">
        <v>383</v>
      </c>
      <c r="D97" s="9" t="s">
        <v>24</v>
      </c>
      <c r="E97" s="10">
        <v>2</v>
      </c>
      <c r="F97" s="7" t="s">
        <v>41</v>
      </c>
      <c r="G97" s="11"/>
      <c r="H97" s="11" t="s">
        <v>382</v>
      </c>
      <c r="I97" s="12">
        <v>16.350000000000001</v>
      </c>
    </row>
    <row r="98" spans="2:10" ht="71.25" x14ac:dyDescent="0.2">
      <c r="B98" s="7" t="s">
        <v>376</v>
      </c>
      <c r="C98" s="32" t="s">
        <v>387</v>
      </c>
      <c r="D98" s="9" t="s">
        <v>24</v>
      </c>
      <c r="E98" s="10">
        <v>2</v>
      </c>
      <c r="F98" s="7" t="s">
        <v>41</v>
      </c>
      <c r="G98" s="11"/>
      <c r="H98" s="11">
        <v>89731</v>
      </c>
      <c r="I98" s="12">
        <v>13.98</v>
      </c>
    </row>
    <row r="99" spans="2:10" ht="71.25" x14ac:dyDescent="0.2">
      <c r="B99" s="7" t="s">
        <v>377</v>
      </c>
      <c r="C99" s="32" t="s">
        <v>381</v>
      </c>
      <c r="D99" s="9" t="s">
        <v>24</v>
      </c>
      <c r="E99" s="10">
        <v>2</v>
      </c>
      <c r="F99" s="7" t="s">
        <v>41</v>
      </c>
      <c r="G99" s="11"/>
      <c r="H99" s="11">
        <v>89744</v>
      </c>
      <c r="I99" s="12">
        <v>25.86</v>
      </c>
    </row>
    <row r="100" spans="2:10" ht="28.5" x14ac:dyDescent="0.2">
      <c r="B100" s="7" t="s">
        <v>376</v>
      </c>
      <c r="C100" s="28" t="s">
        <v>392</v>
      </c>
      <c r="D100" s="9" t="s">
        <v>24</v>
      </c>
      <c r="E100" s="10">
        <v>2</v>
      </c>
      <c r="F100" s="7" t="s">
        <v>41</v>
      </c>
      <c r="G100" s="11"/>
      <c r="H100" s="11" t="s">
        <v>391</v>
      </c>
      <c r="I100" s="12">
        <v>60.17</v>
      </c>
    </row>
    <row r="101" spans="2:10" ht="71.25" x14ac:dyDescent="0.2">
      <c r="B101" s="7" t="s">
        <v>377</v>
      </c>
      <c r="C101" s="28" t="s">
        <v>662</v>
      </c>
      <c r="D101" s="9" t="s">
        <v>18</v>
      </c>
      <c r="E101" s="10">
        <v>4</v>
      </c>
      <c r="F101" s="7" t="s">
        <v>41</v>
      </c>
      <c r="G101" s="11"/>
      <c r="H101" s="11">
        <v>89778</v>
      </c>
      <c r="I101" s="12">
        <v>15.45</v>
      </c>
    </row>
    <row r="102" spans="2:10" ht="57" x14ac:dyDescent="0.2">
      <c r="B102" s="7"/>
      <c r="C102" s="28" t="s">
        <v>664</v>
      </c>
      <c r="D102" s="9" t="s">
        <v>18</v>
      </c>
      <c r="E102" s="10">
        <v>4</v>
      </c>
      <c r="F102" s="7" t="s">
        <v>41</v>
      </c>
      <c r="G102" s="11"/>
      <c r="H102" s="11">
        <v>89813</v>
      </c>
      <c r="I102" s="12">
        <v>5.19</v>
      </c>
    </row>
    <row r="103" spans="2:10" x14ac:dyDescent="0.2">
      <c r="B103" s="7" t="s">
        <v>377</v>
      </c>
      <c r="C103" s="28" t="s">
        <v>394</v>
      </c>
      <c r="D103" s="9" t="s">
        <v>158</v>
      </c>
      <c r="E103" s="10">
        <v>3</v>
      </c>
      <c r="F103" s="7" t="s">
        <v>41</v>
      </c>
      <c r="G103" s="11"/>
      <c r="H103" s="11" t="s">
        <v>393</v>
      </c>
      <c r="I103" s="12">
        <v>669.78</v>
      </c>
    </row>
    <row r="104" spans="2:10" x14ac:dyDescent="0.2">
      <c r="B104" s="104" t="s">
        <v>397</v>
      </c>
      <c r="C104" s="121" t="s">
        <v>398</v>
      </c>
      <c r="D104" s="114"/>
      <c r="E104" s="107"/>
      <c r="F104" s="104"/>
      <c r="G104" s="11"/>
      <c r="H104" s="11"/>
      <c r="I104" s="12"/>
    </row>
    <row r="105" spans="2:10" ht="71.25" x14ac:dyDescent="0.2">
      <c r="B105" s="7" t="s">
        <v>399</v>
      </c>
      <c r="C105" s="28" t="s">
        <v>401</v>
      </c>
      <c r="D105" s="9" t="s">
        <v>24</v>
      </c>
      <c r="E105" s="10">
        <v>2</v>
      </c>
      <c r="F105" s="7" t="s">
        <v>41</v>
      </c>
      <c r="G105" s="11"/>
      <c r="H105" s="11">
        <v>86931</v>
      </c>
      <c r="I105" s="12">
        <v>513.75</v>
      </c>
      <c r="J105" s="22">
        <f>7.04*8.33%</f>
        <v>0.58643199999999995</v>
      </c>
    </row>
    <row r="106" spans="2:10" ht="42.75" x14ac:dyDescent="0.2">
      <c r="B106" s="7" t="s">
        <v>402</v>
      </c>
      <c r="C106" s="28" t="s">
        <v>405</v>
      </c>
      <c r="D106" s="9" t="s">
        <v>24</v>
      </c>
      <c r="E106" s="10">
        <v>2</v>
      </c>
      <c r="F106" s="7" t="s">
        <v>41</v>
      </c>
      <c r="G106" s="11"/>
      <c r="H106" s="11">
        <v>100849</v>
      </c>
      <c r="I106" s="12">
        <v>47.61</v>
      </c>
      <c r="J106" s="22">
        <f>5.66*8.33%</f>
        <v>0.47147800000000001</v>
      </c>
    </row>
    <row r="107" spans="2:10" ht="114" x14ac:dyDescent="0.2">
      <c r="B107" s="7" t="s">
        <v>404</v>
      </c>
      <c r="C107" s="28" t="s">
        <v>403</v>
      </c>
      <c r="D107" s="9" t="s">
        <v>24</v>
      </c>
      <c r="E107" s="10">
        <v>2</v>
      </c>
      <c r="F107" s="7" t="s">
        <v>41</v>
      </c>
      <c r="G107" s="11"/>
      <c r="H107" s="11">
        <v>86942</v>
      </c>
      <c r="I107" s="12">
        <v>269.58999999999997</v>
      </c>
    </row>
    <row r="108" spans="2:10" ht="42.75" x14ac:dyDescent="0.2">
      <c r="B108" s="7" t="s">
        <v>406</v>
      </c>
      <c r="C108" s="28" t="s">
        <v>407</v>
      </c>
      <c r="D108" s="9" t="s">
        <v>24</v>
      </c>
      <c r="E108" s="10">
        <v>2</v>
      </c>
      <c r="F108" s="7" t="s">
        <v>41</v>
      </c>
      <c r="G108" s="11"/>
      <c r="H108" s="11">
        <v>95544</v>
      </c>
      <c r="I108" s="12">
        <v>35.14</v>
      </c>
    </row>
    <row r="109" spans="2:10" ht="42.75" x14ac:dyDescent="0.2">
      <c r="B109" s="7" t="s">
        <v>408</v>
      </c>
      <c r="C109" s="28" t="s">
        <v>409</v>
      </c>
      <c r="D109" s="9" t="s">
        <v>24</v>
      </c>
      <c r="E109" s="10">
        <v>2</v>
      </c>
      <c r="F109" s="7" t="s">
        <v>41</v>
      </c>
      <c r="G109" s="11"/>
      <c r="H109" s="11">
        <v>95545</v>
      </c>
      <c r="I109" s="12">
        <v>34.5</v>
      </c>
    </row>
    <row r="110" spans="2:10" ht="57" x14ac:dyDescent="0.2">
      <c r="B110" s="7" t="s">
        <v>410</v>
      </c>
      <c r="C110" s="28" t="s">
        <v>411</v>
      </c>
      <c r="D110" s="9" t="s">
        <v>18</v>
      </c>
      <c r="E110" s="10">
        <v>4</v>
      </c>
      <c r="F110" s="7" t="s">
        <v>41</v>
      </c>
      <c r="G110" s="11"/>
      <c r="H110" s="11">
        <v>100873</v>
      </c>
      <c r="I110" s="12">
        <v>345.94</v>
      </c>
    </row>
    <row r="111" spans="2:10" x14ac:dyDescent="0.2">
      <c r="B111" s="104" t="s">
        <v>415</v>
      </c>
      <c r="C111" s="113" t="s">
        <v>38</v>
      </c>
      <c r="D111" s="114"/>
      <c r="E111" s="107"/>
      <c r="F111" s="104"/>
      <c r="G111" s="11"/>
      <c r="H111" s="25"/>
      <c r="I111" s="12"/>
    </row>
    <row r="112" spans="2:10" ht="42.75" x14ac:dyDescent="0.2">
      <c r="B112" s="7" t="s">
        <v>896</v>
      </c>
      <c r="C112" s="29" t="s">
        <v>416</v>
      </c>
      <c r="D112" s="14" t="s">
        <v>234</v>
      </c>
      <c r="E112" s="10">
        <v>8.4600000000000009</v>
      </c>
      <c r="F112" s="7" t="s">
        <v>154</v>
      </c>
      <c r="G112" s="11"/>
      <c r="H112" s="18" t="s">
        <v>166</v>
      </c>
      <c r="I112" s="12">
        <v>18.600000000000001</v>
      </c>
    </row>
    <row r="113" spans="2:9" ht="42.75" x14ac:dyDescent="0.2">
      <c r="B113" s="7" t="s">
        <v>897</v>
      </c>
      <c r="C113" s="29" t="s">
        <v>720</v>
      </c>
      <c r="D113" s="14" t="s">
        <v>721</v>
      </c>
      <c r="E113" s="10">
        <f>19.8*3-35.64</f>
        <v>23.760000000000005</v>
      </c>
      <c r="F113" s="7" t="s">
        <v>154</v>
      </c>
      <c r="G113" s="11"/>
      <c r="H113" s="18" t="s">
        <v>165</v>
      </c>
      <c r="I113" s="12">
        <v>10.07</v>
      </c>
    </row>
    <row r="114" spans="2:9" ht="42.75" x14ac:dyDescent="0.2">
      <c r="B114" s="7" t="s">
        <v>898</v>
      </c>
      <c r="C114" s="29" t="s">
        <v>417</v>
      </c>
      <c r="D114" s="14" t="s">
        <v>721</v>
      </c>
      <c r="E114" s="10">
        <f>19.8*3-35.64</f>
        <v>23.760000000000005</v>
      </c>
      <c r="F114" s="7" t="s">
        <v>154</v>
      </c>
      <c r="G114" s="11"/>
      <c r="H114" s="31" t="s">
        <v>168</v>
      </c>
      <c r="I114" s="12">
        <v>3.64</v>
      </c>
    </row>
    <row r="115" spans="2:9" ht="42.75" x14ac:dyDescent="0.2">
      <c r="B115" s="7" t="s">
        <v>899</v>
      </c>
      <c r="C115" s="29" t="s">
        <v>418</v>
      </c>
      <c r="D115" s="14" t="s">
        <v>234</v>
      </c>
      <c r="E115" s="10">
        <v>8.4600000000000009</v>
      </c>
      <c r="F115" s="7" t="s">
        <v>154</v>
      </c>
      <c r="G115" s="11"/>
      <c r="H115" s="31" t="s">
        <v>169</v>
      </c>
      <c r="I115" s="12">
        <v>4.49</v>
      </c>
    </row>
    <row r="116" spans="2:9" ht="42.75" x14ac:dyDescent="0.2">
      <c r="B116" s="7" t="s">
        <v>900</v>
      </c>
      <c r="C116" s="29" t="s">
        <v>912</v>
      </c>
      <c r="D116" s="14" t="s">
        <v>721</v>
      </c>
      <c r="E116" s="10">
        <f>19.8*3-35.64</f>
        <v>23.760000000000005</v>
      </c>
      <c r="F116" s="7" t="s">
        <v>154</v>
      </c>
      <c r="G116" s="11"/>
      <c r="H116" s="31" t="s">
        <v>911</v>
      </c>
      <c r="I116" s="12">
        <v>8.68</v>
      </c>
    </row>
    <row r="117" spans="2:9" ht="42.75" x14ac:dyDescent="0.2">
      <c r="B117" s="7" t="s">
        <v>916</v>
      </c>
      <c r="C117" s="29" t="s">
        <v>419</v>
      </c>
      <c r="D117" s="14" t="s">
        <v>234</v>
      </c>
      <c r="E117" s="10">
        <v>8.4600000000000009</v>
      </c>
      <c r="F117" s="7" t="s">
        <v>154</v>
      </c>
      <c r="G117" s="11"/>
      <c r="H117" s="31" t="s">
        <v>167</v>
      </c>
      <c r="I117" s="12">
        <v>14.29</v>
      </c>
    </row>
    <row r="118" spans="2:9" x14ac:dyDescent="0.2">
      <c r="B118" s="115"/>
      <c r="C118" s="116"/>
      <c r="D118" s="9"/>
      <c r="E118" s="10"/>
      <c r="F118" s="7"/>
    </row>
    <row r="119" spans="2:9" x14ac:dyDescent="0.2">
      <c r="B119" s="15">
        <v>3</v>
      </c>
      <c r="C119" s="119" t="s">
        <v>279</v>
      </c>
      <c r="D119" s="16"/>
      <c r="E119" s="17"/>
      <c r="F119" s="15"/>
    </row>
    <row r="120" spans="2:9" x14ac:dyDescent="0.2">
      <c r="B120" s="104" t="s">
        <v>25</v>
      </c>
      <c r="C120" s="105" t="s">
        <v>33</v>
      </c>
      <c r="D120" s="106"/>
      <c r="E120" s="107"/>
      <c r="F120" s="104"/>
      <c r="G120" s="11"/>
      <c r="H120" s="11"/>
      <c r="I120" s="12"/>
    </row>
    <row r="121" spans="2:9" ht="71.25" x14ac:dyDescent="0.2">
      <c r="B121" s="7" t="s">
        <v>275</v>
      </c>
      <c r="C121" s="21" t="s">
        <v>318</v>
      </c>
      <c r="D121" s="14" t="s">
        <v>280</v>
      </c>
      <c r="E121" s="10">
        <f>1.44*3*2+0.9*2.1*2+0.64*0.6</f>
        <v>12.804000000000002</v>
      </c>
      <c r="F121" s="7" t="s">
        <v>154</v>
      </c>
      <c r="G121" s="11"/>
      <c r="H121" s="11">
        <v>103328</v>
      </c>
      <c r="I121" s="12">
        <v>86.61</v>
      </c>
    </row>
    <row r="122" spans="2:9" ht="42.75" x14ac:dyDescent="0.2">
      <c r="B122" s="7" t="s">
        <v>276</v>
      </c>
      <c r="C122" s="21" t="s">
        <v>420</v>
      </c>
      <c r="D122" s="14" t="s">
        <v>282</v>
      </c>
      <c r="E122" s="10">
        <f>1.44*2</f>
        <v>2.88</v>
      </c>
      <c r="F122" s="7" t="s">
        <v>333</v>
      </c>
      <c r="G122" s="11"/>
      <c r="H122" s="11">
        <v>93205</v>
      </c>
      <c r="I122" s="12">
        <v>67.59</v>
      </c>
    </row>
    <row r="123" spans="2:9" x14ac:dyDescent="0.2">
      <c r="B123" s="104" t="s">
        <v>26</v>
      </c>
      <c r="C123" s="105" t="s">
        <v>20</v>
      </c>
      <c r="D123" s="106"/>
      <c r="E123" s="107"/>
      <c r="F123" s="104"/>
      <c r="G123" s="11"/>
      <c r="H123" s="11"/>
      <c r="I123" s="12"/>
    </row>
    <row r="124" spans="2:9" ht="66" customHeight="1" x14ac:dyDescent="0.2">
      <c r="B124" s="7" t="s">
        <v>446</v>
      </c>
      <c r="C124" s="122" t="s">
        <v>421</v>
      </c>
      <c r="D124" s="14" t="s">
        <v>917</v>
      </c>
      <c r="E124" s="10">
        <f>10.28*26.32+13.86*6.57</f>
        <v>361.62979999999999</v>
      </c>
      <c r="F124" s="7" t="s">
        <v>154</v>
      </c>
      <c r="G124" s="11"/>
      <c r="H124" s="11">
        <v>94447</v>
      </c>
      <c r="I124" s="12">
        <v>39.299999999999997</v>
      </c>
    </row>
    <row r="125" spans="2:9" ht="71.25" x14ac:dyDescent="0.2">
      <c r="B125" s="7" t="s">
        <v>447</v>
      </c>
      <c r="C125" s="122" t="s">
        <v>422</v>
      </c>
      <c r="D125" s="14" t="s">
        <v>283</v>
      </c>
      <c r="E125" s="10">
        <v>32.89</v>
      </c>
      <c r="F125" s="7" t="s">
        <v>333</v>
      </c>
      <c r="G125" s="11"/>
      <c r="H125" s="11">
        <v>94221</v>
      </c>
      <c r="I125" s="12">
        <v>22.25</v>
      </c>
    </row>
    <row r="126" spans="2:9" ht="28.5" x14ac:dyDescent="0.2">
      <c r="B126" s="7" t="s">
        <v>448</v>
      </c>
      <c r="C126" s="13" t="s">
        <v>423</v>
      </c>
      <c r="D126" s="14" t="s">
        <v>284</v>
      </c>
      <c r="E126" s="10">
        <f>32.89*2</f>
        <v>65.78</v>
      </c>
      <c r="F126" s="7" t="s">
        <v>333</v>
      </c>
      <c r="G126" s="11"/>
      <c r="H126" s="11" t="s">
        <v>150</v>
      </c>
      <c r="I126" s="12">
        <v>8.2799999999999994</v>
      </c>
    </row>
    <row r="127" spans="2:9" ht="42.75" customHeight="1" x14ac:dyDescent="0.2">
      <c r="B127" s="7" t="s">
        <v>449</v>
      </c>
      <c r="C127" s="13" t="s">
        <v>892</v>
      </c>
      <c r="D127" s="14" t="s">
        <v>438</v>
      </c>
      <c r="E127" s="10">
        <v>454.61</v>
      </c>
      <c r="F127" s="7" t="s">
        <v>154</v>
      </c>
      <c r="G127" s="11"/>
      <c r="H127" s="11">
        <v>96113</v>
      </c>
      <c r="I127" s="12">
        <v>41.56</v>
      </c>
    </row>
    <row r="128" spans="2:9" x14ac:dyDescent="0.2">
      <c r="B128" s="111" t="s">
        <v>27</v>
      </c>
      <c r="C128" s="105" t="s">
        <v>23</v>
      </c>
      <c r="D128" s="106"/>
      <c r="E128" s="107"/>
      <c r="F128" s="104"/>
      <c r="G128" s="11"/>
      <c r="H128" s="11"/>
      <c r="I128" s="12"/>
    </row>
    <row r="129" spans="2:9" ht="71.25" x14ac:dyDescent="0.2">
      <c r="B129" s="20" t="s">
        <v>450</v>
      </c>
      <c r="C129" s="122" t="s">
        <v>872</v>
      </c>
      <c r="D129" s="14" t="s">
        <v>430</v>
      </c>
      <c r="E129" s="10">
        <v>21</v>
      </c>
      <c r="F129" s="7" t="s">
        <v>41</v>
      </c>
      <c r="G129" s="11"/>
      <c r="H129" s="18" t="s">
        <v>871</v>
      </c>
      <c r="I129" s="19">
        <v>393.25</v>
      </c>
    </row>
    <row r="130" spans="2:9" ht="71.25" x14ac:dyDescent="0.2">
      <c r="B130" s="20" t="s">
        <v>451</v>
      </c>
      <c r="C130" s="122" t="s">
        <v>874</v>
      </c>
      <c r="D130" s="14" t="s">
        <v>158</v>
      </c>
      <c r="E130" s="10">
        <v>3</v>
      </c>
      <c r="F130" s="7" t="s">
        <v>41</v>
      </c>
      <c r="G130" s="11"/>
      <c r="H130" s="18" t="s">
        <v>873</v>
      </c>
      <c r="I130" s="19">
        <v>362.08</v>
      </c>
    </row>
    <row r="131" spans="2:9" ht="81.75" customHeight="1" x14ac:dyDescent="0.2">
      <c r="B131" s="20" t="s">
        <v>452</v>
      </c>
      <c r="C131" s="122" t="s">
        <v>432</v>
      </c>
      <c r="D131" s="14" t="s">
        <v>875</v>
      </c>
      <c r="E131" s="10">
        <f>0.8*2.1*1</f>
        <v>1.6800000000000002</v>
      </c>
      <c r="F131" s="7" t="s">
        <v>154</v>
      </c>
      <c r="G131" s="11"/>
      <c r="H131" s="18" t="s">
        <v>431</v>
      </c>
      <c r="I131" s="19">
        <v>710.04</v>
      </c>
    </row>
    <row r="132" spans="2:9" ht="85.5" x14ac:dyDescent="0.2">
      <c r="B132" s="20" t="s">
        <v>453</v>
      </c>
      <c r="C132" s="13" t="s">
        <v>881</v>
      </c>
      <c r="D132" s="14" t="s">
        <v>277</v>
      </c>
      <c r="E132" s="10">
        <v>10</v>
      </c>
      <c r="F132" s="7" t="s">
        <v>41</v>
      </c>
      <c r="G132" s="11"/>
      <c r="H132" s="18" t="s">
        <v>155</v>
      </c>
      <c r="I132" s="19">
        <f>composições!H43</f>
        <v>629.15472</v>
      </c>
    </row>
    <row r="133" spans="2:9" ht="42.75" x14ac:dyDescent="0.2">
      <c r="B133" s="20" t="s">
        <v>454</v>
      </c>
      <c r="C133" s="21" t="s">
        <v>427</v>
      </c>
      <c r="D133" s="14" t="s">
        <v>425</v>
      </c>
      <c r="E133" s="10">
        <f>14.01-0.9*2.1*2</f>
        <v>10.23</v>
      </c>
      <c r="F133" s="7" t="s">
        <v>154</v>
      </c>
      <c r="G133" s="11"/>
      <c r="H133" s="18" t="s">
        <v>424</v>
      </c>
      <c r="I133" s="19">
        <v>520</v>
      </c>
    </row>
    <row r="134" spans="2:9" ht="42.75" x14ac:dyDescent="0.2">
      <c r="B134" s="20" t="s">
        <v>455</v>
      </c>
      <c r="C134" s="21" t="s">
        <v>433</v>
      </c>
      <c r="D134" s="14" t="s">
        <v>428</v>
      </c>
      <c r="E134" s="10">
        <f>0.9*2.1*2</f>
        <v>3.7800000000000002</v>
      </c>
      <c r="F134" s="7" t="s">
        <v>154</v>
      </c>
      <c r="G134" s="11"/>
      <c r="H134" s="18" t="s">
        <v>426</v>
      </c>
      <c r="I134" s="19">
        <v>952.95</v>
      </c>
    </row>
    <row r="135" spans="2:9" ht="42.75" x14ac:dyDescent="0.2">
      <c r="B135" s="20" t="s">
        <v>456</v>
      </c>
      <c r="C135" s="21" t="s">
        <v>435</v>
      </c>
      <c r="D135" s="14" t="s">
        <v>943</v>
      </c>
      <c r="E135" s="10">
        <v>2</v>
      </c>
      <c r="F135" s="7" t="s">
        <v>41</v>
      </c>
      <c r="G135" s="11"/>
      <c r="H135" s="18" t="s">
        <v>434</v>
      </c>
      <c r="I135" s="19">
        <v>292.72000000000003</v>
      </c>
    </row>
    <row r="136" spans="2:9" ht="28.5" x14ac:dyDescent="0.2">
      <c r="B136" s="20" t="s">
        <v>457</v>
      </c>
      <c r="C136" s="21" t="s">
        <v>895</v>
      </c>
      <c r="D136" s="14" t="s">
        <v>429</v>
      </c>
      <c r="E136" s="10">
        <f>1.85*1.55*13+4*0.6*2+4.6*1.55*1+0.8*0.4*2</f>
        <v>49.847500000000004</v>
      </c>
      <c r="F136" s="10" t="s">
        <v>154</v>
      </c>
      <c r="G136" s="11"/>
      <c r="H136" s="18" t="s">
        <v>894</v>
      </c>
      <c r="I136" s="19">
        <v>272.56</v>
      </c>
    </row>
    <row r="137" spans="2:9" x14ac:dyDescent="0.2">
      <c r="B137" s="104" t="s">
        <v>436</v>
      </c>
      <c r="C137" s="112" t="s">
        <v>28</v>
      </c>
      <c r="D137" s="106"/>
      <c r="E137" s="107"/>
      <c r="F137" s="104"/>
      <c r="G137" s="11"/>
      <c r="H137" s="18"/>
      <c r="I137" s="19"/>
    </row>
    <row r="138" spans="2:9" ht="71.25" x14ac:dyDescent="0.2">
      <c r="B138" s="82" t="s">
        <v>458</v>
      </c>
      <c r="C138" s="83" t="s">
        <v>329</v>
      </c>
      <c r="D138" s="117" t="s">
        <v>851</v>
      </c>
      <c r="E138" s="118">
        <f>1066.88+53.45*2</f>
        <v>1173.7800000000002</v>
      </c>
      <c r="F138" s="82" t="s">
        <v>154</v>
      </c>
      <c r="G138" s="11"/>
      <c r="H138" s="53">
        <v>87878</v>
      </c>
      <c r="I138" s="12">
        <v>4.5999999999999996</v>
      </c>
    </row>
    <row r="139" spans="2:9" ht="42.75" x14ac:dyDescent="0.2">
      <c r="B139" s="82" t="s">
        <v>459</v>
      </c>
      <c r="C139" s="13" t="s">
        <v>442</v>
      </c>
      <c r="D139" s="14" t="s">
        <v>849</v>
      </c>
      <c r="E139" s="10">
        <f>117.92+100.77</f>
        <v>218.69</v>
      </c>
      <c r="F139" s="7" t="s">
        <v>154</v>
      </c>
      <c r="G139" s="11"/>
      <c r="H139" s="11" t="s">
        <v>441</v>
      </c>
      <c r="I139" s="12">
        <v>13.35</v>
      </c>
    </row>
    <row r="140" spans="2:9" ht="114" x14ac:dyDescent="0.2">
      <c r="B140" s="82" t="s">
        <v>460</v>
      </c>
      <c r="C140" s="29" t="s">
        <v>330</v>
      </c>
      <c r="D140" s="14" t="s">
        <v>852</v>
      </c>
      <c r="E140" s="10">
        <f>145.2*1.8+4.06</f>
        <v>265.42</v>
      </c>
      <c r="F140" s="7" t="s">
        <v>154</v>
      </c>
      <c r="G140" s="11"/>
      <c r="H140" s="18">
        <v>87549</v>
      </c>
      <c r="I140" s="12">
        <v>23.17</v>
      </c>
    </row>
    <row r="141" spans="2:9" ht="99.75" x14ac:dyDescent="0.2">
      <c r="B141" s="82" t="s">
        <v>461</v>
      </c>
      <c r="C141" s="8" t="s">
        <v>891</v>
      </c>
      <c r="D141" s="14" t="s">
        <v>850</v>
      </c>
      <c r="E141" s="10">
        <f>145.2*1.8+4.06</f>
        <v>265.42</v>
      </c>
      <c r="F141" s="7" t="s">
        <v>154</v>
      </c>
      <c r="G141" s="11"/>
      <c r="H141" s="11" t="s">
        <v>890</v>
      </c>
      <c r="I141" s="12">
        <v>75.38</v>
      </c>
    </row>
    <row r="142" spans="2:9" ht="99.75" x14ac:dyDescent="0.2">
      <c r="B142" s="82" t="s">
        <v>462</v>
      </c>
      <c r="C142" s="8" t="s">
        <v>331</v>
      </c>
      <c r="D142" s="14" t="s">
        <v>853</v>
      </c>
      <c r="E142" s="10">
        <f>E138-E140</f>
        <v>908.36000000000013</v>
      </c>
      <c r="F142" s="7" t="s">
        <v>154</v>
      </c>
      <c r="G142" s="11"/>
      <c r="H142" s="11">
        <v>87547</v>
      </c>
      <c r="I142" s="12">
        <v>24.27</v>
      </c>
    </row>
    <row r="143" spans="2:9" ht="57" x14ac:dyDescent="0.2">
      <c r="B143" s="82" t="s">
        <v>463</v>
      </c>
      <c r="C143" s="8" t="s">
        <v>718</v>
      </c>
      <c r="D143" s="14" t="s">
        <v>719</v>
      </c>
      <c r="E143" s="10">
        <f>100.77+92.99*0.13</f>
        <v>112.8587</v>
      </c>
      <c r="F143" s="7" t="s">
        <v>154</v>
      </c>
      <c r="G143" s="11"/>
      <c r="H143" s="11">
        <v>90408</v>
      </c>
      <c r="I143" s="12">
        <v>29.57</v>
      </c>
    </row>
    <row r="144" spans="2:9" x14ac:dyDescent="0.2">
      <c r="B144" s="104" t="s">
        <v>437</v>
      </c>
      <c r="C144" s="112" t="s">
        <v>35</v>
      </c>
      <c r="D144" s="106"/>
      <c r="E144" s="107"/>
      <c r="F144" s="104"/>
      <c r="G144" s="11"/>
      <c r="H144" s="18"/>
      <c r="I144" s="19"/>
    </row>
    <row r="145" spans="2:9" ht="85.5" x14ac:dyDescent="0.2">
      <c r="B145" s="7" t="s">
        <v>464</v>
      </c>
      <c r="C145" s="13" t="s">
        <v>332</v>
      </c>
      <c r="D145" s="14" t="s">
        <v>472</v>
      </c>
      <c r="E145" s="10">
        <f>26.45+1*2*36</f>
        <v>98.45</v>
      </c>
      <c r="F145" s="7" t="s">
        <v>154</v>
      </c>
      <c r="G145" s="11"/>
      <c r="H145" s="18" t="s">
        <v>103</v>
      </c>
      <c r="I145" s="19">
        <v>30.71</v>
      </c>
    </row>
    <row r="146" spans="2:9" ht="99.75" x14ac:dyDescent="0.2">
      <c r="B146" s="7" t="s">
        <v>465</v>
      </c>
      <c r="C146" s="13" t="s">
        <v>467</v>
      </c>
      <c r="D146" s="14" t="s">
        <v>472</v>
      </c>
      <c r="E146" s="10">
        <f>26.45+1*2*36</f>
        <v>98.45</v>
      </c>
      <c r="F146" s="7" t="s">
        <v>154</v>
      </c>
      <c r="G146" s="11"/>
      <c r="H146" s="18" t="s">
        <v>163</v>
      </c>
      <c r="I146" s="19">
        <v>91.02</v>
      </c>
    </row>
    <row r="147" spans="2:9" ht="99.75" x14ac:dyDescent="0.2">
      <c r="B147" s="7" t="s">
        <v>466</v>
      </c>
      <c r="C147" s="29" t="s">
        <v>891</v>
      </c>
      <c r="D147" s="14" t="s">
        <v>164</v>
      </c>
      <c r="E147" s="10">
        <v>46.54</v>
      </c>
      <c r="F147" s="7" t="s">
        <v>154</v>
      </c>
      <c r="G147" s="11"/>
      <c r="H147" s="18" t="s">
        <v>890</v>
      </c>
      <c r="I147" s="12">
        <v>75.38</v>
      </c>
    </row>
    <row r="148" spans="2:9" ht="28.5" x14ac:dyDescent="0.2">
      <c r="B148" s="7" t="s">
        <v>468</v>
      </c>
      <c r="C148" s="13" t="s">
        <v>470</v>
      </c>
      <c r="D148" s="14" t="s">
        <v>709</v>
      </c>
      <c r="E148" s="10">
        <f>373.16+10.19</f>
        <v>383.35</v>
      </c>
      <c r="F148" s="7" t="s">
        <v>154</v>
      </c>
      <c r="G148" s="11"/>
      <c r="H148" s="18" t="s">
        <v>469</v>
      </c>
      <c r="I148" s="19">
        <v>7.06</v>
      </c>
    </row>
    <row r="149" spans="2:9" x14ac:dyDescent="0.2">
      <c r="B149" s="104" t="s">
        <v>473</v>
      </c>
      <c r="C149" s="113" t="s">
        <v>36</v>
      </c>
      <c r="D149" s="114"/>
      <c r="E149" s="107"/>
      <c r="F149" s="104"/>
      <c r="G149" s="11"/>
      <c r="H149" s="18"/>
      <c r="I149" s="19"/>
    </row>
    <row r="150" spans="2:9" ht="57" x14ac:dyDescent="0.2">
      <c r="B150" s="7" t="s">
        <v>474</v>
      </c>
      <c r="C150" s="13" t="s">
        <v>297</v>
      </c>
      <c r="D150" s="14" t="s">
        <v>905</v>
      </c>
      <c r="E150" s="10">
        <f>435.88-93.6</f>
        <v>342.28</v>
      </c>
      <c r="F150" s="7" t="s">
        <v>333</v>
      </c>
      <c r="G150" s="11"/>
      <c r="H150" s="18" t="s">
        <v>296</v>
      </c>
      <c r="I150" s="12">
        <v>5.13</v>
      </c>
    </row>
    <row r="151" spans="2:9" ht="57" x14ac:dyDescent="0.2">
      <c r="B151" s="7" t="s">
        <v>475</v>
      </c>
      <c r="C151" s="13" t="s">
        <v>493</v>
      </c>
      <c r="D151" s="9" t="s">
        <v>18</v>
      </c>
      <c r="E151" s="10">
        <f>4</f>
        <v>4</v>
      </c>
      <c r="F151" s="7" t="s">
        <v>333</v>
      </c>
      <c r="G151" s="11"/>
      <c r="H151" s="18" t="s">
        <v>492</v>
      </c>
      <c r="I151" s="12">
        <v>11.68</v>
      </c>
    </row>
    <row r="152" spans="2:9" ht="57" x14ac:dyDescent="0.2">
      <c r="B152" s="7" t="s">
        <v>476</v>
      </c>
      <c r="C152" s="13" t="s">
        <v>336</v>
      </c>
      <c r="D152" s="9" t="s">
        <v>494</v>
      </c>
      <c r="E152" s="10">
        <f>419.58</f>
        <v>419.58</v>
      </c>
      <c r="F152" s="7" t="s">
        <v>333</v>
      </c>
      <c r="G152" s="11"/>
      <c r="H152" s="31" t="s">
        <v>335</v>
      </c>
      <c r="I152" s="12">
        <v>13.35</v>
      </c>
    </row>
    <row r="153" spans="2:9" ht="57" x14ac:dyDescent="0.2">
      <c r="B153" s="7" t="s">
        <v>477</v>
      </c>
      <c r="C153" s="13" t="s">
        <v>341</v>
      </c>
      <c r="D153" s="9" t="s">
        <v>500</v>
      </c>
      <c r="E153" s="10">
        <v>507.93</v>
      </c>
      <c r="F153" s="7" t="s">
        <v>333</v>
      </c>
      <c r="G153" s="11"/>
      <c r="H153" s="31" t="s">
        <v>340</v>
      </c>
      <c r="I153" s="12">
        <v>10.7</v>
      </c>
    </row>
    <row r="154" spans="2:9" ht="57" x14ac:dyDescent="0.2">
      <c r="B154" s="7" t="s">
        <v>478</v>
      </c>
      <c r="C154" s="13" t="s">
        <v>502</v>
      </c>
      <c r="D154" s="9" t="s">
        <v>506</v>
      </c>
      <c r="E154" s="10">
        <v>2.5</v>
      </c>
      <c r="F154" s="7" t="s">
        <v>333</v>
      </c>
      <c r="G154" s="11"/>
      <c r="H154" s="31" t="s">
        <v>501</v>
      </c>
      <c r="I154" s="12">
        <v>17.239999999999998</v>
      </c>
    </row>
    <row r="155" spans="2:9" ht="57" x14ac:dyDescent="0.2">
      <c r="B155" s="7" t="s">
        <v>479</v>
      </c>
      <c r="C155" s="13" t="s">
        <v>504</v>
      </c>
      <c r="D155" s="9" t="s">
        <v>505</v>
      </c>
      <c r="E155" s="10">
        <v>17.079999999999998</v>
      </c>
      <c r="F155" s="7" t="s">
        <v>333</v>
      </c>
      <c r="G155" s="11"/>
      <c r="H155" s="31" t="s">
        <v>503</v>
      </c>
      <c r="I155" s="12">
        <v>14.58</v>
      </c>
    </row>
    <row r="156" spans="2:9" ht="71.25" x14ac:dyDescent="0.2">
      <c r="B156" s="7" t="s">
        <v>480</v>
      </c>
      <c r="C156" s="13" t="s">
        <v>496</v>
      </c>
      <c r="D156" s="9" t="s">
        <v>497</v>
      </c>
      <c r="E156" s="10">
        <v>5</v>
      </c>
      <c r="F156" s="7" t="s">
        <v>333</v>
      </c>
      <c r="G156" s="11"/>
      <c r="H156" s="31" t="s">
        <v>495</v>
      </c>
      <c r="I156" s="12">
        <v>20.99</v>
      </c>
    </row>
    <row r="157" spans="2:9" ht="71.25" x14ac:dyDescent="0.2">
      <c r="B157" s="7" t="s">
        <v>481</v>
      </c>
      <c r="C157" s="13" t="s">
        <v>508</v>
      </c>
      <c r="D157" s="9" t="s">
        <v>509</v>
      </c>
      <c r="E157" s="10">
        <v>42.81</v>
      </c>
      <c r="F157" s="7" t="s">
        <v>333</v>
      </c>
      <c r="G157" s="11"/>
      <c r="H157" s="31" t="s">
        <v>507</v>
      </c>
      <c r="I157" s="12">
        <v>18.38</v>
      </c>
    </row>
    <row r="158" spans="2:9" ht="71.25" x14ac:dyDescent="0.2">
      <c r="B158" s="7" t="s">
        <v>482</v>
      </c>
      <c r="C158" s="13" t="s">
        <v>499</v>
      </c>
      <c r="D158" s="9" t="s">
        <v>510</v>
      </c>
      <c r="E158" s="10">
        <f>8.8+46.66</f>
        <v>55.459999999999994</v>
      </c>
      <c r="F158" s="7" t="s">
        <v>333</v>
      </c>
      <c r="G158" s="11"/>
      <c r="H158" s="31" t="s">
        <v>498</v>
      </c>
      <c r="I158" s="12">
        <v>18.170000000000002</v>
      </c>
    </row>
    <row r="159" spans="2:9" ht="71.25" x14ac:dyDescent="0.2">
      <c r="B159" s="7" t="s">
        <v>483</v>
      </c>
      <c r="C159" s="13" t="s">
        <v>342</v>
      </c>
      <c r="D159" s="9" t="s">
        <v>812</v>
      </c>
      <c r="E159" s="10">
        <v>381</v>
      </c>
      <c r="F159" s="7" t="s">
        <v>41</v>
      </c>
      <c r="G159" s="11"/>
      <c r="H159" s="31" t="s">
        <v>343</v>
      </c>
      <c r="I159" s="12">
        <v>9.67</v>
      </c>
    </row>
    <row r="160" spans="2:9" ht="71.25" x14ac:dyDescent="0.2">
      <c r="B160" s="7" t="s">
        <v>484</v>
      </c>
      <c r="C160" s="13" t="s">
        <v>345</v>
      </c>
      <c r="D160" s="9" t="s">
        <v>513</v>
      </c>
      <c r="E160" s="10">
        <v>9</v>
      </c>
      <c r="F160" s="7" t="s">
        <v>41</v>
      </c>
      <c r="G160" s="11"/>
      <c r="H160" s="31" t="s">
        <v>346</v>
      </c>
      <c r="I160" s="12">
        <v>6.92</v>
      </c>
    </row>
    <row r="161" spans="2:10" ht="28.5" x14ac:dyDescent="0.2">
      <c r="B161" s="7" t="s">
        <v>485</v>
      </c>
      <c r="C161" s="13" t="s">
        <v>512</v>
      </c>
      <c r="D161" s="9" t="s">
        <v>19</v>
      </c>
      <c r="E161" s="10">
        <v>6</v>
      </c>
      <c r="F161" s="7" t="s">
        <v>41</v>
      </c>
      <c r="G161" s="11"/>
      <c r="H161" s="31" t="s">
        <v>511</v>
      </c>
      <c r="I161" s="12">
        <v>4.9800000000000004</v>
      </c>
    </row>
    <row r="162" spans="2:10" ht="71.25" x14ac:dyDescent="0.2">
      <c r="B162" s="7" t="s">
        <v>486</v>
      </c>
      <c r="C162" s="13" t="s">
        <v>349</v>
      </c>
      <c r="D162" s="9" t="s">
        <v>813</v>
      </c>
      <c r="E162" s="10">
        <v>107</v>
      </c>
      <c r="F162" s="7" t="s">
        <v>41</v>
      </c>
      <c r="G162" s="11"/>
      <c r="H162" s="31" t="s">
        <v>347</v>
      </c>
      <c r="I162" s="12">
        <v>15.05</v>
      </c>
    </row>
    <row r="163" spans="2:10" ht="71.25" x14ac:dyDescent="0.2">
      <c r="B163" s="7" t="s">
        <v>487</v>
      </c>
      <c r="C163" s="13" t="s">
        <v>350</v>
      </c>
      <c r="D163" s="9" t="s">
        <v>514</v>
      </c>
      <c r="E163" s="10">
        <v>135</v>
      </c>
      <c r="F163" s="7" t="s">
        <v>41</v>
      </c>
      <c r="G163" s="11"/>
      <c r="H163" s="31" t="s">
        <v>348</v>
      </c>
      <c r="I163" s="12">
        <v>10.84</v>
      </c>
    </row>
    <row r="164" spans="2:10" ht="71.25" x14ac:dyDescent="0.2">
      <c r="B164" s="7" t="s">
        <v>488</v>
      </c>
      <c r="C164" s="13" t="s">
        <v>359</v>
      </c>
      <c r="D164" s="9" t="s">
        <v>515</v>
      </c>
      <c r="E164" s="10">
        <v>105</v>
      </c>
      <c r="F164" s="7" t="s">
        <v>41</v>
      </c>
      <c r="G164" s="11"/>
      <c r="H164" s="31" t="s">
        <v>358</v>
      </c>
      <c r="I164" s="12">
        <v>6.16</v>
      </c>
      <c r="J164" s="22">
        <f>42+28+88</f>
        <v>158</v>
      </c>
    </row>
    <row r="165" spans="2:10" ht="71.25" x14ac:dyDescent="0.2">
      <c r="B165" s="7" t="s">
        <v>491</v>
      </c>
      <c r="C165" s="13" t="s">
        <v>361</v>
      </c>
      <c r="D165" s="9" t="s">
        <v>516</v>
      </c>
      <c r="E165" s="10">
        <v>50</v>
      </c>
      <c r="F165" s="7" t="s">
        <v>41</v>
      </c>
      <c r="G165" s="11"/>
      <c r="H165" s="31" t="s">
        <v>360</v>
      </c>
      <c r="I165" s="12">
        <v>10.47</v>
      </c>
    </row>
    <row r="166" spans="2:10" ht="57" x14ac:dyDescent="0.2">
      <c r="B166" s="7" t="s">
        <v>562</v>
      </c>
      <c r="C166" s="13" t="s">
        <v>365</v>
      </c>
      <c r="D166" s="9" t="s">
        <v>521</v>
      </c>
      <c r="E166" s="10">
        <f>351.77+432.29+366.31+256.35</f>
        <v>1406.7199999999998</v>
      </c>
      <c r="F166" s="7" t="s">
        <v>333</v>
      </c>
      <c r="G166" s="11"/>
      <c r="H166" s="31" t="s">
        <v>364</v>
      </c>
      <c r="I166" s="12">
        <v>3.13</v>
      </c>
    </row>
    <row r="167" spans="2:10" ht="57" x14ac:dyDescent="0.2">
      <c r="B167" s="7" t="s">
        <v>563</v>
      </c>
      <c r="C167" s="13" t="s">
        <v>519</v>
      </c>
      <c r="D167" s="9" t="s">
        <v>520</v>
      </c>
      <c r="E167" s="10">
        <f>976.79+766.04+976.79</f>
        <v>2719.62</v>
      </c>
      <c r="F167" s="7" t="s">
        <v>333</v>
      </c>
      <c r="G167" s="11"/>
      <c r="H167" s="31" t="s">
        <v>518</v>
      </c>
      <c r="I167" s="12">
        <v>4.72</v>
      </c>
      <c r="J167" s="22">
        <f>E167/E166</f>
        <v>1.9333058462238399</v>
      </c>
    </row>
    <row r="168" spans="2:10" ht="57" x14ac:dyDescent="0.2">
      <c r="B168" s="7" t="s">
        <v>564</v>
      </c>
      <c r="C168" s="13" t="s">
        <v>523</v>
      </c>
      <c r="D168" s="9" t="s">
        <v>524</v>
      </c>
      <c r="E168" s="10">
        <f>128.49+128.49+102.29</f>
        <v>359.27000000000004</v>
      </c>
      <c r="F168" s="7" t="s">
        <v>333</v>
      </c>
      <c r="G168" s="11"/>
      <c r="H168" s="31" t="s">
        <v>522</v>
      </c>
      <c r="I168" s="12">
        <v>7.21</v>
      </c>
    </row>
    <row r="169" spans="2:10" ht="57" x14ac:dyDescent="0.2">
      <c r="B169" s="7" t="s">
        <v>565</v>
      </c>
      <c r="C169" s="13" t="s">
        <v>526</v>
      </c>
      <c r="D169" s="9" t="s">
        <v>527</v>
      </c>
      <c r="E169" s="10">
        <f>12+4+4</f>
        <v>20</v>
      </c>
      <c r="F169" s="7" t="s">
        <v>333</v>
      </c>
      <c r="G169" s="11"/>
      <c r="H169" s="31" t="s">
        <v>525</v>
      </c>
      <c r="I169" s="12">
        <v>18.350000000000001</v>
      </c>
    </row>
    <row r="170" spans="2:10" ht="71.25" x14ac:dyDescent="0.2">
      <c r="B170" s="7" t="s">
        <v>566</v>
      </c>
      <c r="C170" s="13" t="s">
        <v>352</v>
      </c>
      <c r="D170" s="9" t="s">
        <v>517</v>
      </c>
      <c r="E170" s="10">
        <v>27</v>
      </c>
      <c r="F170" s="7" t="s">
        <v>41</v>
      </c>
      <c r="G170" s="11"/>
      <c r="H170" s="31" t="s">
        <v>351</v>
      </c>
      <c r="I170" s="12">
        <v>45.74</v>
      </c>
    </row>
    <row r="171" spans="2:10" ht="42.75" x14ac:dyDescent="0.2">
      <c r="B171" s="7" t="s">
        <v>567</v>
      </c>
      <c r="C171" s="13" t="s">
        <v>354</v>
      </c>
      <c r="D171" s="9" t="s">
        <v>158</v>
      </c>
      <c r="E171" s="10">
        <v>3</v>
      </c>
      <c r="F171" s="7" t="s">
        <v>41</v>
      </c>
      <c r="G171" s="11"/>
      <c r="H171" s="31" t="s">
        <v>353</v>
      </c>
      <c r="I171" s="12">
        <v>60.92</v>
      </c>
    </row>
    <row r="172" spans="2:10" ht="28.5" x14ac:dyDescent="0.2">
      <c r="B172" s="7" t="s">
        <v>568</v>
      </c>
      <c r="C172" s="13" t="s">
        <v>529</v>
      </c>
      <c r="D172" s="9" t="s">
        <v>24</v>
      </c>
      <c r="E172" s="10">
        <v>2</v>
      </c>
      <c r="F172" s="7" t="s">
        <v>41</v>
      </c>
      <c r="G172" s="11"/>
      <c r="H172" s="31" t="s">
        <v>528</v>
      </c>
      <c r="I172" s="12">
        <v>72.98</v>
      </c>
    </row>
    <row r="173" spans="2:10" ht="42.75" x14ac:dyDescent="0.2">
      <c r="B173" s="7" t="s">
        <v>569</v>
      </c>
      <c r="C173" s="13" t="s">
        <v>531</v>
      </c>
      <c r="D173" s="9" t="s">
        <v>37</v>
      </c>
      <c r="E173" s="10">
        <v>1</v>
      </c>
      <c r="F173" s="7" t="s">
        <v>41</v>
      </c>
      <c r="G173" s="11"/>
      <c r="H173" s="31" t="s">
        <v>530</v>
      </c>
      <c r="I173" s="12">
        <v>175.41</v>
      </c>
    </row>
    <row r="174" spans="2:10" ht="42.75" x14ac:dyDescent="0.2">
      <c r="B174" s="7" t="s">
        <v>570</v>
      </c>
      <c r="C174" s="13" t="s">
        <v>535</v>
      </c>
      <c r="D174" s="9" t="s">
        <v>533</v>
      </c>
      <c r="E174" s="10">
        <v>73</v>
      </c>
      <c r="F174" s="7" t="s">
        <v>41</v>
      </c>
      <c r="G174" s="11"/>
      <c r="H174" s="31" t="s">
        <v>532</v>
      </c>
      <c r="I174" s="12">
        <v>11.38</v>
      </c>
    </row>
    <row r="175" spans="2:10" ht="42.75" x14ac:dyDescent="0.2">
      <c r="B175" s="7" t="s">
        <v>571</v>
      </c>
      <c r="C175" s="13" t="s">
        <v>587</v>
      </c>
      <c r="D175" s="9" t="s">
        <v>588</v>
      </c>
      <c r="E175" s="10">
        <v>7</v>
      </c>
      <c r="F175" s="7" t="s">
        <v>41</v>
      </c>
      <c r="G175" s="11"/>
      <c r="H175" s="31" t="s">
        <v>586</v>
      </c>
      <c r="I175" s="12">
        <v>51.11</v>
      </c>
    </row>
    <row r="176" spans="2:10" ht="28.5" x14ac:dyDescent="0.2">
      <c r="B176" s="7" t="s">
        <v>572</v>
      </c>
      <c r="C176" s="13" t="s">
        <v>537</v>
      </c>
      <c r="D176" s="9" t="s">
        <v>19</v>
      </c>
      <c r="E176" s="10">
        <v>6</v>
      </c>
      <c r="F176" s="7" t="s">
        <v>41</v>
      </c>
      <c r="G176" s="11"/>
      <c r="H176" s="31" t="s">
        <v>536</v>
      </c>
      <c r="I176" s="12">
        <v>43.03</v>
      </c>
    </row>
    <row r="177" spans="2:9" ht="28.5" x14ac:dyDescent="0.2">
      <c r="B177" s="7" t="s">
        <v>573</v>
      </c>
      <c r="C177" s="13" t="s">
        <v>539</v>
      </c>
      <c r="D177" s="9" t="s">
        <v>24</v>
      </c>
      <c r="E177" s="10">
        <v>2</v>
      </c>
      <c r="F177" s="7" t="s">
        <v>41</v>
      </c>
      <c r="G177" s="11"/>
      <c r="H177" s="31" t="s">
        <v>538</v>
      </c>
      <c r="I177" s="12">
        <v>9.0399999999999991</v>
      </c>
    </row>
    <row r="178" spans="2:9" ht="42.75" x14ac:dyDescent="0.2">
      <c r="B178" s="7" t="s">
        <v>574</v>
      </c>
      <c r="C178" s="13" t="s">
        <v>355</v>
      </c>
      <c r="D178" s="9" t="s">
        <v>18</v>
      </c>
      <c r="E178" s="10">
        <v>4</v>
      </c>
      <c r="F178" s="7" t="s">
        <v>41</v>
      </c>
      <c r="G178" s="11"/>
      <c r="H178" s="31" t="s">
        <v>356</v>
      </c>
      <c r="I178" s="12">
        <v>78.81</v>
      </c>
    </row>
    <row r="179" spans="2:9" ht="57" x14ac:dyDescent="0.2">
      <c r="B179" s="7" t="s">
        <v>575</v>
      </c>
      <c r="C179" s="13" t="s">
        <v>541</v>
      </c>
      <c r="D179" s="9" t="s">
        <v>534</v>
      </c>
      <c r="E179" s="10">
        <v>71</v>
      </c>
      <c r="F179" s="7" t="s">
        <v>41</v>
      </c>
      <c r="G179" s="11"/>
      <c r="H179" s="31" t="s">
        <v>540</v>
      </c>
      <c r="I179" s="12">
        <v>17.309999999999999</v>
      </c>
    </row>
    <row r="180" spans="2:9" ht="57" x14ac:dyDescent="0.2">
      <c r="B180" s="7" t="s">
        <v>576</v>
      </c>
      <c r="C180" s="13" t="s">
        <v>363</v>
      </c>
      <c r="D180" s="9" t="s">
        <v>344</v>
      </c>
      <c r="E180" s="10">
        <v>8</v>
      </c>
      <c r="F180" s="7" t="s">
        <v>41</v>
      </c>
      <c r="G180" s="11"/>
      <c r="H180" s="31" t="s">
        <v>362</v>
      </c>
      <c r="I180" s="12">
        <v>30.25</v>
      </c>
    </row>
    <row r="181" spans="2:9" ht="28.5" x14ac:dyDescent="0.2">
      <c r="B181" s="7" t="s">
        <v>577</v>
      </c>
      <c r="C181" s="13" t="s">
        <v>544</v>
      </c>
      <c r="D181" s="9" t="s">
        <v>543</v>
      </c>
      <c r="E181" s="10">
        <v>75</v>
      </c>
      <c r="F181" s="7" t="s">
        <v>41</v>
      </c>
      <c r="G181" s="11"/>
      <c r="H181" s="31" t="s">
        <v>542</v>
      </c>
      <c r="I181" s="12">
        <v>40.81</v>
      </c>
    </row>
    <row r="182" spans="2:9" ht="85.5" x14ac:dyDescent="0.2">
      <c r="B182" s="7" t="s">
        <v>578</v>
      </c>
      <c r="C182" s="13" t="s">
        <v>546</v>
      </c>
      <c r="D182" s="9" t="s">
        <v>24</v>
      </c>
      <c r="E182" s="10">
        <v>2</v>
      </c>
      <c r="F182" s="7" t="s">
        <v>41</v>
      </c>
      <c r="G182" s="11"/>
      <c r="H182" s="31" t="s">
        <v>545</v>
      </c>
      <c r="I182" s="12">
        <v>365.14</v>
      </c>
    </row>
    <row r="183" spans="2:9" ht="57" x14ac:dyDescent="0.2">
      <c r="B183" s="7" t="s">
        <v>579</v>
      </c>
      <c r="C183" s="13" t="s">
        <v>548</v>
      </c>
      <c r="D183" s="9" t="s">
        <v>18</v>
      </c>
      <c r="E183" s="10">
        <v>4</v>
      </c>
      <c r="F183" s="7" t="s">
        <v>41</v>
      </c>
      <c r="G183" s="11"/>
      <c r="H183" s="31" t="s">
        <v>547</v>
      </c>
      <c r="I183" s="12">
        <v>10.18</v>
      </c>
    </row>
    <row r="184" spans="2:9" ht="57" x14ac:dyDescent="0.2">
      <c r="B184" s="7" t="s">
        <v>580</v>
      </c>
      <c r="C184" s="13" t="s">
        <v>551</v>
      </c>
      <c r="D184" s="9" t="s">
        <v>550</v>
      </c>
      <c r="E184" s="10">
        <v>23</v>
      </c>
      <c r="F184" s="7" t="s">
        <v>41</v>
      </c>
      <c r="G184" s="11"/>
      <c r="H184" s="31" t="s">
        <v>549</v>
      </c>
      <c r="I184" s="12">
        <v>10.18</v>
      </c>
    </row>
    <row r="185" spans="2:9" ht="57" x14ac:dyDescent="0.2">
      <c r="B185" s="7" t="s">
        <v>581</v>
      </c>
      <c r="C185" s="13" t="s">
        <v>553</v>
      </c>
      <c r="D185" s="9" t="s">
        <v>37</v>
      </c>
      <c r="E185" s="10">
        <v>1</v>
      </c>
      <c r="F185" s="7" t="s">
        <v>41</v>
      </c>
      <c r="G185" s="11"/>
      <c r="H185" s="31" t="s">
        <v>552</v>
      </c>
      <c r="I185" s="12">
        <v>11.77</v>
      </c>
    </row>
    <row r="186" spans="2:9" ht="57" x14ac:dyDescent="0.2">
      <c r="B186" s="7" t="s">
        <v>582</v>
      </c>
      <c r="C186" s="13" t="s">
        <v>555</v>
      </c>
      <c r="D186" s="9" t="s">
        <v>37</v>
      </c>
      <c r="E186" s="10">
        <v>1</v>
      </c>
      <c r="F186" s="7" t="s">
        <v>41</v>
      </c>
      <c r="G186" s="11"/>
      <c r="H186" s="31" t="s">
        <v>554</v>
      </c>
      <c r="I186" s="12">
        <v>13.1</v>
      </c>
    </row>
    <row r="187" spans="2:9" ht="42.75" x14ac:dyDescent="0.2">
      <c r="B187" s="7" t="s">
        <v>583</v>
      </c>
      <c r="C187" s="13" t="s">
        <v>557</v>
      </c>
      <c r="D187" s="9" t="s">
        <v>24</v>
      </c>
      <c r="E187" s="10">
        <v>2</v>
      </c>
      <c r="F187" s="7" t="s">
        <v>41</v>
      </c>
      <c r="G187" s="11"/>
      <c r="H187" s="31" t="s">
        <v>556</v>
      </c>
      <c r="I187" s="12">
        <v>83.48</v>
      </c>
    </row>
    <row r="188" spans="2:9" ht="28.5" x14ac:dyDescent="0.2">
      <c r="B188" s="7" t="s">
        <v>584</v>
      </c>
      <c r="C188" s="13" t="s">
        <v>559</v>
      </c>
      <c r="D188" s="9" t="s">
        <v>37</v>
      </c>
      <c r="E188" s="10">
        <v>1</v>
      </c>
      <c r="F188" s="7" t="s">
        <v>41</v>
      </c>
      <c r="G188" s="11"/>
      <c r="H188" s="31" t="s">
        <v>558</v>
      </c>
      <c r="I188" s="12">
        <v>143.81</v>
      </c>
    </row>
    <row r="189" spans="2:9" ht="57" x14ac:dyDescent="0.2">
      <c r="B189" s="7" t="s">
        <v>585</v>
      </c>
      <c r="C189" s="13" t="s">
        <v>561</v>
      </c>
      <c r="D189" s="9" t="s">
        <v>24</v>
      </c>
      <c r="E189" s="10">
        <v>2</v>
      </c>
      <c r="F189" s="7" t="s">
        <v>41</v>
      </c>
      <c r="G189" s="11"/>
      <c r="H189" s="31" t="s">
        <v>560</v>
      </c>
      <c r="I189" s="12">
        <v>163.72999999999999</v>
      </c>
    </row>
    <row r="190" spans="2:9" x14ac:dyDescent="0.2">
      <c r="B190" s="104" t="s">
        <v>589</v>
      </c>
      <c r="C190" s="113" t="s">
        <v>843</v>
      </c>
      <c r="D190" s="114"/>
      <c r="E190" s="107"/>
      <c r="F190" s="104"/>
      <c r="G190" s="11"/>
      <c r="H190" s="25"/>
      <c r="I190" s="12"/>
    </row>
    <row r="191" spans="2:9" ht="57" x14ac:dyDescent="0.2">
      <c r="B191" s="7" t="s">
        <v>590</v>
      </c>
      <c r="C191" s="32" t="s">
        <v>601</v>
      </c>
      <c r="D191" s="9" t="s">
        <v>623</v>
      </c>
      <c r="E191" s="10">
        <f>3+1+3+1+3+1+2+7</f>
        <v>21</v>
      </c>
      <c r="F191" s="7" t="s">
        <v>41</v>
      </c>
      <c r="G191" s="11"/>
      <c r="H191" s="25" t="s">
        <v>600</v>
      </c>
      <c r="I191" s="87">
        <v>4.5999999999999996</v>
      </c>
    </row>
    <row r="192" spans="2:9" ht="57" x14ac:dyDescent="0.2">
      <c r="B192" s="7" t="s">
        <v>591</v>
      </c>
      <c r="C192" s="32" t="s">
        <v>625</v>
      </c>
      <c r="D192" s="9" t="s">
        <v>24</v>
      </c>
      <c r="E192" s="10">
        <v>2</v>
      </c>
      <c r="F192" s="7" t="s">
        <v>41</v>
      </c>
      <c r="G192" s="11"/>
      <c r="H192" s="25" t="s">
        <v>624</v>
      </c>
      <c r="I192" s="87">
        <v>7.26</v>
      </c>
    </row>
    <row r="193" spans="2:9" ht="57" x14ac:dyDescent="0.2">
      <c r="B193" s="7" t="s">
        <v>592</v>
      </c>
      <c r="C193" s="32" t="s">
        <v>919</v>
      </c>
      <c r="D193" s="9" t="s">
        <v>37</v>
      </c>
      <c r="E193" s="10">
        <v>1</v>
      </c>
      <c r="F193" s="7" t="s">
        <v>41</v>
      </c>
      <c r="G193" s="11"/>
      <c r="H193" s="84" t="s">
        <v>918</v>
      </c>
      <c r="I193" s="87">
        <v>6.31</v>
      </c>
    </row>
    <row r="194" spans="2:9" ht="71.25" x14ac:dyDescent="0.2">
      <c r="B194" s="7" t="s">
        <v>593</v>
      </c>
      <c r="C194" s="32" t="s">
        <v>603</v>
      </c>
      <c r="D194" s="9" t="s">
        <v>605</v>
      </c>
      <c r="E194" s="10">
        <f>2+1+3+2+3+1</f>
        <v>12</v>
      </c>
      <c r="F194" s="7" t="s">
        <v>41</v>
      </c>
      <c r="G194" s="11"/>
      <c r="H194" s="25" t="s">
        <v>602</v>
      </c>
      <c r="I194" s="87">
        <v>5.34</v>
      </c>
    </row>
    <row r="195" spans="2:9" ht="57" x14ac:dyDescent="0.2">
      <c r="B195" s="7" t="s">
        <v>594</v>
      </c>
      <c r="C195" s="32" t="s">
        <v>622</v>
      </c>
      <c r="D195" s="9" t="s">
        <v>37</v>
      </c>
      <c r="E195" s="10">
        <v>1</v>
      </c>
      <c r="F195" s="7" t="s">
        <v>41</v>
      </c>
      <c r="G195" s="11"/>
      <c r="H195" s="25" t="s">
        <v>621</v>
      </c>
      <c r="I195" s="87">
        <v>8.48</v>
      </c>
    </row>
    <row r="196" spans="2:9" ht="42.75" x14ac:dyDescent="0.2">
      <c r="B196" s="7" t="s">
        <v>595</v>
      </c>
      <c r="C196" s="32" t="s">
        <v>371</v>
      </c>
      <c r="D196" s="9" t="s">
        <v>604</v>
      </c>
      <c r="E196" s="10">
        <f>1+1+1+1+1+1</f>
        <v>6</v>
      </c>
      <c r="F196" s="7" t="s">
        <v>41</v>
      </c>
      <c r="G196" s="11"/>
      <c r="H196" s="25" t="s">
        <v>370</v>
      </c>
      <c r="I196" s="87">
        <v>18.38</v>
      </c>
    </row>
    <row r="197" spans="2:9" ht="57" x14ac:dyDescent="0.2">
      <c r="B197" s="7" t="s">
        <v>596</v>
      </c>
      <c r="C197" s="32" t="s">
        <v>614</v>
      </c>
      <c r="D197" s="9" t="s">
        <v>37</v>
      </c>
      <c r="E197" s="10">
        <v>1</v>
      </c>
      <c r="F197" s="7" t="s">
        <v>41</v>
      </c>
      <c r="G197" s="11"/>
      <c r="H197" s="25" t="s">
        <v>613</v>
      </c>
      <c r="I197" s="87">
        <v>22.86</v>
      </c>
    </row>
    <row r="198" spans="2:9" ht="42.75" x14ac:dyDescent="0.2">
      <c r="B198" s="7" t="s">
        <v>597</v>
      </c>
      <c r="C198" s="32" t="s">
        <v>373</v>
      </c>
      <c r="D198" s="9" t="s">
        <v>630</v>
      </c>
      <c r="E198" s="10">
        <f>1+2+1+2+2</f>
        <v>8</v>
      </c>
      <c r="F198" s="7" t="s">
        <v>41</v>
      </c>
      <c r="G198" s="11"/>
      <c r="H198" s="25" t="s">
        <v>372</v>
      </c>
      <c r="I198" s="87">
        <v>6.51</v>
      </c>
    </row>
    <row r="199" spans="2:9" ht="42.75" x14ac:dyDescent="0.2">
      <c r="B199" s="7" t="s">
        <v>598</v>
      </c>
      <c r="C199" s="32" t="s">
        <v>633</v>
      </c>
      <c r="D199" s="9" t="s">
        <v>37</v>
      </c>
      <c r="E199" s="10">
        <v>1</v>
      </c>
      <c r="F199" s="7" t="s">
        <v>41</v>
      </c>
      <c r="G199" s="11"/>
      <c r="H199" s="25" t="s">
        <v>631</v>
      </c>
      <c r="I199" s="87">
        <v>10.43</v>
      </c>
    </row>
    <row r="200" spans="2:9" ht="42.75" x14ac:dyDescent="0.2">
      <c r="B200" s="7" t="s">
        <v>599</v>
      </c>
      <c r="C200" s="32" t="s">
        <v>634</v>
      </c>
      <c r="D200" s="9" t="s">
        <v>24</v>
      </c>
      <c r="E200" s="10">
        <v>2</v>
      </c>
      <c r="F200" s="7" t="s">
        <v>41</v>
      </c>
      <c r="G200" s="11"/>
      <c r="H200" s="25" t="s">
        <v>632</v>
      </c>
      <c r="I200" s="87">
        <v>17.36</v>
      </c>
    </row>
    <row r="201" spans="2:9" ht="71.25" x14ac:dyDescent="0.2">
      <c r="B201" s="7" t="s">
        <v>796</v>
      </c>
      <c r="C201" s="32" t="s">
        <v>374</v>
      </c>
      <c r="D201" s="9" t="s">
        <v>607</v>
      </c>
      <c r="E201" s="10">
        <f>4+6+2+6+2</f>
        <v>20</v>
      </c>
      <c r="F201" s="7" t="s">
        <v>41</v>
      </c>
      <c r="G201" s="11"/>
      <c r="H201" s="25" t="s">
        <v>606</v>
      </c>
      <c r="I201" s="87">
        <v>20.28</v>
      </c>
    </row>
    <row r="202" spans="2:9" ht="57" x14ac:dyDescent="0.2">
      <c r="B202" s="7" t="s">
        <v>797</v>
      </c>
      <c r="C202" s="32" t="s">
        <v>627</v>
      </c>
      <c r="D202" s="9" t="s">
        <v>37</v>
      </c>
      <c r="E202" s="10">
        <v>1</v>
      </c>
      <c r="F202" s="7" t="s">
        <v>41</v>
      </c>
      <c r="G202" s="11"/>
      <c r="H202" s="25" t="s">
        <v>626</v>
      </c>
      <c r="I202" s="87">
        <v>12.66</v>
      </c>
    </row>
    <row r="203" spans="2:9" ht="57" x14ac:dyDescent="0.2">
      <c r="B203" s="7" t="s">
        <v>798</v>
      </c>
      <c r="C203" s="32" t="s">
        <v>629</v>
      </c>
      <c r="D203" s="9" t="s">
        <v>37</v>
      </c>
      <c r="E203" s="10">
        <v>1</v>
      </c>
      <c r="F203" s="7" t="s">
        <v>41</v>
      </c>
      <c r="G203" s="11"/>
      <c r="H203" s="25" t="s">
        <v>628</v>
      </c>
      <c r="I203" s="87">
        <v>16.07</v>
      </c>
    </row>
    <row r="204" spans="2:9" ht="57" x14ac:dyDescent="0.2">
      <c r="B204" s="7" t="s">
        <v>799</v>
      </c>
      <c r="C204" s="32" t="s">
        <v>616</v>
      </c>
      <c r="D204" s="9" t="s">
        <v>37</v>
      </c>
      <c r="E204" s="10">
        <v>1</v>
      </c>
      <c r="F204" s="7" t="s">
        <v>41</v>
      </c>
      <c r="G204" s="11"/>
      <c r="H204" s="25" t="s">
        <v>615</v>
      </c>
      <c r="I204" s="12">
        <v>13.16</v>
      </c>
    </row>
    <row r="205" spans="2:9" ht="57" x14ac:dyDescent="0.2">
      <c r="B205" s="7" t="s">
        <v>800</v>
      </c>
      <c r="C205" s="32" t="s">
        <v>618</v>
      </c>
      <c r="D205" s="9" t="s">
        <v>158</v>
      </c>
      <c r="E205" s="10">
        <v>3</v>
      </c>
      <c r="F205" s="7" t="s">
        <v>41</v>
      </c>
      <c r="G205" s="11"/>
      <c r="H205" s="25" t="s">
        <v>617</v>
      </c>
      <c r="I205" s="12">
        <v>4.1900000000000004</v>
      </c>
    </row>
    <row r="206" spans="2:9" ht="42.75" x14ac:dyDescent="0.2">
      <c r="B206" s="7" t="s">
        <v>801</v>
      </c>
      <c r="C206" s="32" t="s">
        <v>620</v>
      </c>
      <c r="D206" s="9" t="s">
        <v>24</v>
      </c>
      <c r="E206" s="10">
        <v>2</v>
      </c>
      <c r="F206" s="7" t="s">
        <v>41</v>
      </c>
      <c r="G206" s="11"/>
      <c r="H206" s="25" t="s">
        <v>619</v>
      </c>
      <c r="I206" s="12">
        <v>9.67</v>
      </c>
    </row>
    <row r="207" spans="2:9" ht="42.75" x14ac:dyDescent="0.2">
      <c r="B207" s="7" t="s">
        <v>802</v>
      </c>
      <c r="C207" s="32" t="s">
        <v>640</v>
      </c>
      <c r="D207" s="9" t="s">
        <v>641</v>
      </c>
      <c r="E207" s="10">
        <v>0.15</v>
      </c>
      <c r="F207" s="7" t="s">
        <v>333</v>
      </c>
      <c r="G207" s="11"/>
      <c r="H207" s="25" t="s">
        <v>639</v>
      </c>
      <c r="I207" s="12">
        <v>15.87</v>
      </c>
    </row>
    <row r="208" spans="2:9" ht="42.75" x14ac:dyDescent="0.2">
      <c r="B208" s="7" t="s">
        <v>803</v>
      </c>
      <c r="C208" s="32" t="s">
        <v>637</v>
      </c>
      <c r="D208" s="9" t="s">
        <v>638</v>
      </c>
      <c r="E208" s="10">
        <v>22.17</v>
      </c>
      <c r="F208" s="7" t="s">
        <v>333</v>
      </c>
      <c r="G208" s="11"/>
      <c r="H208" s="25" t="s">
        <v>636</v>
      </c>
      <c r="I208" s="12">
        <v>10.34</v>
      </c>
    </row>
    <row r="209" spans="2:9" ht="42.75" x14ac:dyDescent="0.2">
      <c r="B209" s="7" t="s">
        <v>804</v>
      </c>
      <c r="C209" s="32" t="s">
        <v>609</v>
      </c>
      <c r="D209" s="9" t="s">
        <v>635</v>
      </c>
      <c r="E209" s="10">
        <f>9.9+4.31+9.57+3.67+8.29+4.97+8.46</f>
        <v>49.17</v>
      </c>
      <c r="F209" s="7" t="s">
        <v>333</v>
      </c>
      <c r="G209" s="11"/>
      <c r="H209" s="25" t="s">
        <v>608</v>
      </c>
      <c r="I209" s="87">
        <v>5.16</v>
      </c>
    </row>
    <row r="210" spans="2:9" ht="57" x14ac:dyDescent="0.2">
      <c r="B210" s="7" t="s">
        <v>805</v>
      </c>
      <c r="C210" s="32" t="s">
        <v>611</v>
      </c>
      <c r="D210" s="9" t="s">
        <v>612</v>
      </c>
      <c r="E210" s="10">
        <v>1.44</v>
      </c>
      <c r="F210" s="7" t="s">
        <v>333</v>
      </c>
      <c r="G210" s="11"/>
      <c r="H210" s="25" t="s">
        <v>610</v>
      </c>
      <c r="I210" s="12">
        <v>9.83</v>
      </c>
    </row>
    <row r="211" spans="2:9" x14ac:dyDescent="0.2">
      <c r="B211" s="104" t="s">
        <v>642</v>
      </c>
      <c r="C211" s="120" t="s">
        <v>643</v>
      </c>
      <c r="D211" s="114"/>
      <c r="E211" s="107"/>
      <c r="F211" s="104"/>
      <c r="G211" s="11"/>
      <c r="H211" s="25"/>
      <c r="I211" s="12"/>
    </row>
    <row r="212" spans="2:9" ht="71.25" x14ac:dyDescent="0.2">
      <c r="B212" s="7" t="s">
        <v>675</v>
      </c>
      <c r="C212" s="32" t="s">
        <v>396</v>
      </c>
      <c r="D212" s="9" t="s">
        <v>644</v>
      </c>
      <c r="E212" s="10">
        <f>29.04+33.2</f>
        <v>62.24</v>
      </c>
      <c r="F212" s="7" t="s">
        <v>333</v>
      </c>
      <c r="G212" s="11"/>
      <c r="H212" s="11">
        <v>89711</v>
      </c>
      <c r="I212" s="12">
        <v>19.489999999999998</v>
      </c>
    </row>
    <row r="213" spans="2:9" ht="71.25" x14ac:dyDescent="0.2">
      <c r="B213" s="7" t="s">
        <v>676</v>
      </c>
      <c r="C213" s="32" t="s">
        <v>395</v>
      </c>
      <c r="D213" s="9" t="s">
        <v>645</v>
      </c>
      <c r="E213" s="10">
        <f>9.31+18.04</f>
        <v>27.35</v>
      </c>
      <c r="F213" s="7" t="s">
        <v>333</v>
      </c>
      <c r="G213" s="11"/>
      <c r="H213" s="11">
        <v>89712</v>
      </c>
      <c r="I213" s="12">
        <v>24.95</v>
      </c>
    </row>
    <row r="214" spans="2:9" ht="71.25" x14ac:dyDescent="0.2">
      <c r="B214" s="7" t="s">
        <v>677</v>
      </c>
      <c r="C214" s="32" t="s">
        <v>400</v>
      </c>
      <c r="D214" s="9" t="s">
        <v>646</v>
      </c>
      <c r="E214" s="10">
        <f>73.25+7.93</f>
        <v>81.180000000000007</v>
      </c>
      <c r="F214" s="7" t="s">
        <v>333</v>
      </c>
      <c r="G214" s="11"/>
      <c r="H214" s="11">
        <v>89714</v>
      </c>
      <c r="I214" s="12">
        <v>34.74</v>
      </c>
    </row>
    <row r="215" spans="2:9" ht="42.75" x14ac:dyDescent="0.2">
      <c r="B215" s="7" t="s">
        <v>678</v>
      </c>
      <c r="C215" s="32" t="s">
        <v>380</v>
      </c>
      <c r="D215" s="9" t="s">
        <v>647</v>
      </c>
      <c r="E215" s="10">
        <f>10+10</f>
        <v>20</v>
      </c>
      <c r="F215" s="7" t="s">
        <v>41</v>
      </c>
      <c r="G215" s="11"/>
      <c r="H215" s="11" t="s">
        <v>384</v>
      </c>
      <c r="I215" s="12">
        <v>35.700000000000003</v>
      </c>
    </row>
    <row r="216" spans="2:9" ht="71.25" x14ac:dyDescent="0.2">
      <c r="B216" s="7" t="s">
        <v>679</v>
      </c>
      <c r="C216" s="32" t="s">
        <v>386</v>
      </c>
      <c r="D216" s="9" t="s">
        <v>648</v>
      </c>
      <c r="E216" s="10">
        <f>5+6</f>
        <v>11</v>
      </c>
      <c r="F216" s="7" t="s">
        <v>41</v>
      </c>
      <c r="G216" s="11"/>
      <c r="H216" s="11">
        <v>89726</v>
      </c>
      <c r="I216" s="12">
        <v>9.15</v>
      </c>
    </row>
    <row r="217" spans="2:9" ht="57" x14ac:dyDescent="0.2">
      <c r="B217" s="7" t="s">
        <v>680</v>
      </c>
      <c r="C217" s="32" t="s">
        <v>657</v>
      </c>
      <c r="D217" s="9" t="s">
        <v>658</v>
      </c>
      <c r="E217" s="10">
        <f>14+13</f>
        <v>27</v>
      </c>
      <c r="F217" s="7" t="s">
        <v>41</v>
      </c>
      <c r="G217" s="11"/>
      <c r="H217" s="11">
        <v>89802</v>
      </c>
      <c r="I217" s="12">
        <v>10.15</v>
      </c>
    </row>
    <row r="218" spans="2:9" ht="71.25" x14ac:dyDescent="0.2">
      <c r="B218" s="7" t="s">
        <v>681</v>
      </c>
      <c r="C218" s="32" t="s">
        <v>655</v>
      </c>
      <c r="D218" s="9" t="s">
        <v>656</v>
      </c>
      <c r="E218" s="10">
        <f>11+9</f>
        <v>20</v>
      </c>
      <c r="F218" s="7" t="s">
        <v>41</v>
      </c>
      <c r="G218" s="11"/>
      <c r="H218" s="11">
        <v>89746</v>
      </c>
      <c r="I218" s="12">
        <v>26.67</v>
      </c>
    </row>
    <row r="219" spans="2:9" ht="42.75" x14ac:dyDescent="0.2">
      <c r="B219" s="7" t="s">
        <v>682</v>
      </c>
      <c r="C219" s="32" t="s">
        <v>383</v>
      </c>
      <c r="D219" s="9" t="s">
        <v>649</v>
      </c>
      <c r="E219" s="10">
        <f>17+18</f>
        <v>35</v>
      </c>
      <c r="F219" s="7" t="s">
        <v>41</v>
      </c>
      <c r="G219" s="11"/>
      <c r="H219" s="11" t="s">
        <v>382</v>
      </c>
      <c r="I219" s="12">
        <v>16.350000000000001</v>
      </c>
    </row>
    <row r="220" spans="2:9" ht="71.25" x14ac:dyDescent="0.2">
      <c r="B220" s="7" t="s">
        <v>683</v>
      </c>
      <c r="C220" s="32" t="s">
        <v>387</v>
      </c>
      <c r="D220" s="9" t="s">
        <v>650</v>
      </c>
      <c r="E220" s="10">
        <f>8+18</f>
        <v>26</v>
      </c>
      <c r="F220" s="7" t="s">
        <v>41</v>
      </c>
      <c r="G220" s="11"/>
      <c r="H220" s="11">
        <v>89731</v>
      </c>
      <c r="I220" s="12">
        <v>13.98</v>
      </c>
    </row>
    <row r="221" spans="2:9" ht="71.25" x14ac:dyDescent="0.2">
      <c r="B221" s="7" t="s">
        <v>684</v>
      </c>
      <c r="C221" s="32" t="s">
        <v>381</v>
      </c>
      <c r="D221" s="9" t="s">
        <v>651</v>
      </c>
      <c r="E221" s="10">
        <f>9+9</f>
        <v>18</v>
      </c>
      <c r="F221" s="7" t="s">
        <v>41</v>
      </c>
      <c r="G221" s="11"/>
      <c r="H221" s="11">
        <v>89744</v>
      </c>
      <c r="I221" s="12">
        <v>25.86</v>
      </c>
    </row>
    <row r="222" spans="2:9" ht="28.5" x14ac:dyDescent="0.2">
      <c r="B222" s="7" t="s">
        <v>685</v>
      </c>
      <c r="C222" s="28" t="s">
        <v>392</v>
      </c>
      <c r="D222" s="9" t="s">
        <v>652</v>
      </c>
      <c r="E222" s="10">
        <f>7+7</f>
        <v>14</v>
      </c>
      <c r="F222" s="7" t="s">
        <v>41</v>
      </c>
      <c r="G222" s="11"/>
      <c r="H222" s="11" t="s">
        <v>391</v>
      </c>
      <c r="I222" s="12">
        <v>60.17</v>
      </c>
    </row>
    <row r="223" spans="2:9" ht="57" x14ac:dyDescent="0.2">
      <c r="B223" s="7" t="s">
        <v>686</v>
      </c>
      <c r="C223" s="28" t="s">
        <v>661</v>
      </c>
      <c r="D223" s="9" t="s">
        <v>37</v>
      </c>
      <c r="E223" s="10">
        <v>1</v>
      </c>
      <c r="F223" s="7" t="s">
        <v>41</v>
      </c>
      <c r="G223" s="11"/>
      <c r="H223" s="11">
        <v>89827</v>
      </c>
      <c r="I223" s="12">
        <v>19.05</v>
      </c>
    </row>
    <row r="224" spans="2:9" ht="71.25" x14ac:dyDescent="0.2">
      <c r="B224" s="7" t="s">
        <v>687</v>
      </c>
      <c r="C224" s="28" t="s">
        <v>672</v>
      </c>
      <c r="D224" s="9" t="s">
        <v>37</v>
      </c>
      <c r="E224" s="10">
        <v>1</v>
      </c>
      <c r="F224" s="7" t="s">
        <v>41</v>
      </c>
      <c r="G224" s="11"/>
      <c r="H224" s="11">
        <v>89561</v>
      </c>
      <c r="I224" s="12">
        <v>13.08</v>
      </c>
    </row>
    <row r="225" spans="2:9" ht="71.25" x14ac:dyDescent="0.2">
      <c r="B225" s="7" t="s">
        <v>688</v>
      </c>
      <c r="C225" s="28" t="s">
        <v>659</v>
      </c>
      <c r="D225" s="9" t="s">
        <v>660</v>
      </c>
      <c r="E225" s="10">
        <f>3+4</f>
        <v>7</v>
      </c>
      <c r="F225" s="7" t="s">
        <v>41</v>
      </c>
      <c r="G225" s="11"/>
      <c r="H225" s="11">
        <v>89797</v>
      </c>
      <c r="I225" s="12">
        <v>48.62</v>
      </c>
    </row>
    <row r="226" spans="2:9" ht="28.5" x14ac:dyDescent="0.2">
      <c r="B226" s="7" t="s">
        <v>689</v>
      </c>
      <c r="C226" s="28" t="s">
        <v>907</v>
      </c>
      <c r="D226" s="9" t="s">
        <v>513</v>
      </c>
      <c r="E226" s="10">
        <v>9</v>
      </c>
      <c r="F226" s="7" t="s">
        <v>41</v>
      </c>
      <c r="G226" s="11"/>
      <c r="H226" s="11" t="s">
        <v>906</v>
      </c>
      <c r="I226" s="12">
        <v>222.28</v>
      </c>
    </row>
    <row r="227" spans="2:9" ht="57" x14ac:dyDescent="0.2">
      <c r="B227" s="7" t="s">
        <v>690</v>
      </c>
      <c r="C227" s="28" t="s">
        <v>653</v>
      </c>
      <c r="D227" s="9" t="s">
        <v>37</v>
      </c>
      <c r="E227" s="10">
        <v>1</v>
      </c>
      <c r="F227" s="7" t="s">
        <v>41</v>
      </c>
      <c r="G227" s="11"/>
      <c r="H227" s="11">
        <v>98102</v>
      </c>
      <c r="I227" s="12">
        <v>228.01</v>
      </c>
    </row>
    <row r="228" spans="2:9" ht="71.25" x14ac:dyDescent="0.2">
      <c r="B228" s="7" t="s">
        <v>691</v>
      </c>
      <c r="C228" s="28" t="s">
        <v>654</v>
      </c>
      <c r="D228" s="9" t="s">
        <v>652</v>
      </c>
      <c r="E228" s="10">
        <f>7+7</f>
        <v>14</v>
      </c>
      <c r="F228" s="7" t="s">
        <v>41</v>
      </c>
      <c r="G228" s="11"/>
      <c r="H228" s="11">
        <v>104014</v>
      </c>
      <c r="I228" s="12">
        <v>9.5299999999999994</v>
      </c>
    </row>
    <row r="229" spans="2:9" ht="71.25" x14ac:dyDescent="0.2">
      <c r="B229" s="7" t="s">
        <v>692</v>
      </c>
      <c r="C229" s="28" t="s">
        <v>662</v>
      </c>
      <c r="D229" s="9" t="s">
        <v>663</v>
      </c>
      <c r="E229" s="10">
        <f>24+17</f>
        <v>41</v>
      </c>
      <c r="F229" s="7" t="s">
        <v>41</v>
      </c>
      <c r="G229" s="11"/>
      <c r="H229" s="11">
        <v>89778</v>
      </c>
      <c r="I229" s="12">
        <v>15.45</v>
      </c>
    </row>
    <row r="230" spans="2:9" ht="57" x14ac:dyDescent="0.2">
      <c r="B230" s="7" t="s">
        <v>693</v>
      </c>
      <c r="C230" s="28" t="s">
        <v>664</v>
      </c>
      <c r="D230" s="9" t="s">
        <v>665</v>
      </c>
      <c r="E230" s="10">
        <f>12+19</f>
        <v>31</v>
      </c>
      <c r="F230" s="7" t="s">
        <v>41</v>
      </c>
      <c r="G230" s="11"/>
      <c r="H230" s="11">
        <v>89813</v>
      </c>
      <c r="I230" s="12">
        <v>5.19</v>
      </c>
    </row>
    <row r="231" spans="2:9" ht="28.5" x14ac:dyDescent="0.2">
      <c r="B231" s="7" t="s">
        <v>694</v>
      </c>
      <c r="C231" s="28" t="s">
        <v>667</v>
      </c>
      <c r="D231" s="9" t="s">
        <v>668</v>
      </c>
      <c r="E231" s="10">
        <f>1+3</f>
        <v>4</v>
      </c>
      <c r="F231" s="7" t="s">
        <v>41</v>
      </c>
      <c r="G231" s="11"/>
      <c r="H231" s="11" t="s">
        <v>666</v>
      </c>
      <c r="I231" s="12">
        <v>49.68</v>
      </c>
    </row>
    <row r="232" spans="2:9" ht="71.25" x14ac:dyDescent="0.2">
      <c r="B232" s="7" t="s">
        <v>695</v>
      </c>
      <c r="C232" s="28" t="s">
        <v>671</v>
      </c>
      <c r="D232" s="9" t="s">
        <v>669</v>
      </c>
      <c r="E232" s="10">
        <f>5+5</f>
        <v>10</v>
      </c>
      <c r="F232" s="7" t="s">
        <v>41</v>
      </c>
      <c r="G232" s="11"/>
      <c r="H232" s="11">
        <v>89782</v>
      </c>
      <c r="I232" s="12">
        <v>12.99</v>
      </c>
    </row>
    <row r="233" spans="2:9" ht="71.25" x14ac:dyDescent="0.2">
      <c r="B233" s="7" t="s">
        <v>696</v>
      </c>
      <c r="C233" s="28" t="s">
        <v>670</v>
      </c>
      <c r="D233" s="9" t="s">
        <v>37</v>
      </c>
      <c r="E233" s="10">
        <v>1</v>
      </c>
      <c r="F233" s="7" t="s">
        <v>41</v>
      </c>
      <c r="G233" s="11"/>
      <c r="H233" s="11">
        <v>89825</v>
      </c>
      <c r="I233" s="12">
        <v>16.77</v>
      </c>
    </row>
    <row r="234" spans="2:9" ht="28.5" x14ac:dyDescent="0.2">
      <c r="B234" s="7" t="s">
        <v>697</v>
      </c>
      <c r="C234" s="28" t="s">
        <v>674</v>
      </c>
      <c r="D234" s="9" t="s">
        <v>37</v>
      </c>
      <c r="E234" s="10">
        <v>1</v>
      </c>
      <c r="F234" s="7" t="s">
        <v>41</v>
      </c>
      <c r="G234" s="11"/>
      <c r="H234" s="11" t="s">
        <v>673</v>
      </c>
      <c r="I234" s="12">
        <v>24.51</v>
      </c>
    </row>
    <row r="235" spans="2:9" x14ac:dyDescent="0.2">
      <c r="B235" s="104" t="s">
        <v>698</v>
      </c>
      <c r="C235" s="121" t="s">
        <v>398</v>
      </c>
      <c r="D235" s="114"/>
      <c r="E235" s="107"/>
      <c r="F235" s="104"/>
      <c r="G235" s="11"/>
      <c r="H235" s="11"/>
      <c r="I235" s="12"/>
    </row>
    <row r="236" spans="2:9" ht="57" x14ac:dyDescent="0.2">
      <c r="B236" s="7" t="s">
        <v>699</v>
      </c>
      <c r="C236" s="28" t="s">
        <v>910</v>
      </c>
      <c r="D236" s="9" t="s">
        <v>705</v>
      </c>
      <c r="E236" s="10">
        <v>12</v>
      </c>
      <c r="F236" s="7" t="s">
        <v>41</v>
      </c>
      <c r="G236" s="11"/>
      <c r="H236" s="11">
        <v>86888</v>
      </c>
      <c r="I236" s="12">
        <v>502.34</v>
      </c>
    </row>
    <row r="237" spans="2:9" ht="42.75" x14ac:dyDescent="0.2">
      <c r="B237" s="7" t="s">
        <v>700</v>
      </c>
      <c r="C237" s="28" t="s">
        <v>405</v>
      </c>
      <c r="D237" s="9" t="s">
        <v>705</v>
      </c>
      <c r="E237" s="10">
        <v>12</v>
      </c>
      <c r="F237" s="7" t="s">
        <v>41</v>
      </c>
      <c r="G237" s="11"/>
      <c r="H237" s="11">
        <v>100849</v>
      </c>
      <c r="I237" s="12">
        <v>47.61</v>
      </c>
    </row>
    <row r="238" spans="2:9" ht="114" x14ac:dyDescent="0.2">
      <c r="B238" s="7" t="s">
        <v>701</v>
      </c>
      <c r="C238" s="28" t="s">
        <v>403</v>
      </c>
      <c r="D238" s="14" t="s">
        <v>944</v>
      </c>
      <c r="E238" s="10">
        <f>6+6</f>
        <v>12</v>
      </c>
      <c r="F238" s="7" t="s">
        <v>41</v>
      </c>
      <c r="G238" s="11"/>
      <c r="H238" s="11">
        <v>86942</v>
      </c>
      <c r="I238" s="12">
        <v>269.58999999999997</v>
      </c>
    </row>
    <row r="239" spans="2:9" ht="42.75" x14ac:dyDescent="0.2">
      <c r="B239" s="7" t="s">
        <v>702</v>
      </c>
      <c r="C239" s="28" t="s">
        <v>407</v>
      </c>
      <c r="D239" s="9" t="s">
        <v>705</v>
      </c>
      <c r="E239" s="10">
        <v>12</v>
      </c>
      <c r="F239" s="7" t="s">
        <v>41</v>
      </c>
      <c r="G239" s="11"/>
      <c r="H239" s="11">
        <v>95544</v>
      </c>
      <c r="I239" s="12">
        <v>35.14</v>
      </c>
    </row>
    <row r="240" spans="2:9" ht="42.75" x14ac:dyDescent="0.2">
      <c r="B240" s="7" t="s">
        <v>703</v>
      </c>
      <c r="C240" s="28" t="s">
        <v>409</v>
      </c>
      <c r="D240" s="9" t="s">
        <v>705</v>
      </c>
      <c r="E240" s="10">
        <v>12</v>
      </c>
      <c r="F240" s="7" t="s">
        <v>41</v>
      </c>
      <c r="G240" s="11"/>
      <c r="H240" s="11">
        <v>95545</v>
      </c>
      <c r="I240" s="12">
        <v>34.5</v>
      </c>
    </row>
    <row r="241" spans="2:9" ht="114" x14ac:dyDescent="0.2">
      <c r="B241" s="7" t="s">
        <v>704</v>
      </c>
      <c r="C241" s="28" t="s">
        <v>710</v>
      </c>
      <c r="D241" s="9" t="s">
        <v>37</v>
      </c>
      <c r="E241" s="10">
        <v>1</v>
      </c>
      <c r="F241" s="7" t="s">
        <v>41</v>
      </c>
      <c r="G241" s="11"/>
      <c r="H241" s="11">
        <v>93442</v>
      </c>
      <c r="I241" s="12">
        <v>1325.17</v>
      </c>
    </row>
    <row r="242" spans="2:9" ht="85.5" x14ac:dyDescent="0.2">
      <c r="B242" s="7" t="s">
        <v>707</v>
      </c>
      <c r="C242" s="28" t="s">
        <v>706</v>
      </c>
      <c r="D242" s="9" t="s">
        <v>24</v>
      </c>
      <c r="E242" s="10">
        <v>2</v>
      </c>
      <c r="F242" s="7" t="s">
        <v>41</v>
      </c>
      <c r="G242" s="11"/>
      <c r="H242" s="11">
        <v>86923</v>
      </c>
      <c r="I242" s="12">
        <v>607.13</v>
      </c>
    </row>
    <row r="243" spans="2:9" x14ac:dyDescent="0.2">
      <c r="B243" s="104" t="s">
        <v>711</v>
      </c>
      <c r="C243" s="113" t="s">
        <v>38</v>
      </c>
      <c r="D243" s="114"/>
      <c r="E243" s="107"/>
      <c r="F243" s="104"/>
      <c r="G243" s="11"/>
      <c r="H243" s="25"/>
      <c r="I243" s="12"/>
    </row>
    <row r="244" spans="2:9" ht="42.75" x14ac:dyDescent="0.2">
      <c r="B244" s="7" t="s">
        <v>712</v>
      </c>
      <c r="C244" s="29" t="s">
        <v>720</v>
      </c>
      <c r="D244" s="14" t="s">
        <v>962</v>
      </c>
      <c r="E244" s="10">
        <f>600.81*3-265.42-101.97+25.05</f>
        <v>1460.0899999999997</v>
      </c>
      <c r="F244" s="7" t="s">
        <v>154</v>
      </c>
      <c r="G244" s="11"/>
      <c r="H244" s="18" t="s">
        <v>165</v>
      </c>
      <c r="I244" s="12">
        <v>10.07</v>
      </c>
    </row>
    <row r="245" spans="2:9" ht="42.75" x14ac:dyDescent="0.2">
      <c r="B245" s="7" t="s">
        <v>713</v>
      </c>
      <c r="C245" s="29" t="s">
        <v>416</v>
      </c>
      <c r="D245" s="14" t="s">
        <v>722</v>
      </c>
      <c r="E245" s="10">
        <f>454.61+10.19+112.5</f>
        <v>577.29999999999995</v>
      </c>
      <c r="F245" s="7" t="s">
        <v>154</v>
      </c>
      <c r="G245" s="11"/>
      <c r="H245" s="18" t="s">
        <v>166</v>
      </c>
      <c r="I245" s="12">
        <v>18.600000000000001</v>
      </c>
    </row>
    <row r="246" spans="2:9" ht="42.75" x14ac:dyDescent="0.2">
      <c r="B246" s="7" t="s">
        <v>714</v>
      </c>
      <c r="C246" s="29" t="s">
        <v>417</v>
      </c>
      <c r="D246" s="14" t="s">
        <v>962</v>
      </c>
      <c r="E246" s="10">
        <f>600.81*3-265.42-101.97+25.05</f>
        <v>1460.0899999999997</v>
      </c>
      <c r="F246" s="7" t="s">
        <v>154</v>
      </c>
      <c r="G246" s="11"/>
      <c r="H246" s="31" t="s">
        <v>168</v>
      </c>
      <c r="I246" s="12">
        <v>3.64</v>
      </c>
    </row>
    <row r="247" spans="2:9" ht="42.75" x14ac:dyDescent="0.2">
      <c r="B247" s="7" t="s">
        <v>715</v>
      </c>
      <c r="C247" s="29" t="s">
        <v>418</v>
      </c>
      <c r="D247" s="14" t="s">
        <v>722</v>
      </c>
      <c r="E247" s="10">
        <f>454.61+10.19+112.5</f>
        <v>577.29999999999995</v>
      </c>
      <c r="F247" s="7" t="s">
        <v>154</v>
      </c>
      <c r="G247" s="11"/>
      <c r="H247" s="31" t="s">
        <v>169</v>
      </c>
      <c r="I247" s="12">
        <v>4.49</v>
      </c>
    </row>
    <row r="248" spans="2:9" ht="42.75" x14ac:dyDescent="0.2">
      <c r="B248" s="7" t="s">
        <v>716</v>
      </c>
      <c r="C248" s="29" t="s">
        <v>912</v>
      </c>
      <c r="D248" s="14" t="s">
        <v>962</v>
      </c>
      <c r="E248" s="10">
        <f>600.81*3-265.42-101.97+25.05</f>
        <v>1460.0899999999997</v>
      </c>
      <c r="F248" s="7" t="s">
        <v>154</v>
      </c>
      <c r="G248" s="11"/>
      <c r="H248" s="31" t="s">
        <v>911</v>
      </c>
      <c r="I248" s="12">
        <v>8.68</v>
      </c>
    </row>
    <row r="249" spans="2:9" ht="28.5" x14ac:dyDescent="0.2">
      <c r="B249" s="7" t="s">
        <v>717</v>
      </c>
      <c r="C249" s="29" t="s">
        <v>914</v>
      </c>
      <c r="D249" s="14" t="s">
        <v>722</v>
      </c>
      <c r="E249" s="10">
        <f>454.61+10.19+112.5</f>
        <v>577.29999999999995</v>
      </c>
      <c r="F249" s="7" t="s">
        <v>154</v>
      </c>
      <c r="G249" s="11"/>
      <c r="H249" s="31" t="s">
        <v>913</v>
      </c>
      <c r="I249" s="12">
        <v>13.89</v>
      </c>
    </row>
    <row r="250" spans="2:9" ht="57" x14ac:dyDescent="0.2">
      <c r="B250" s="7" t="s">
        <v>846</v>
      </c>
      <c r="C250" s="29" t="s">
        <v>947</v>
      </c>
      <c r="D250" s="14" t="s">
        <v>948</v>
      </c>
      <c r="E250" s="10">
        <f>(0.8*2.1*21+0.6*2.1*3)*2.5</f>
        <v>97.65</v>
      </c>
      <c r="F250" s="7" t="s">
        <v>154</v>
      </c>
      <c r="G250" s="11"/>
      <c r="H250" s="31" t="s">
        <v>946</v>
      </c>
      <c r="I250" s="12">
        <v>14.79</v>
      </c>
    </row>
    <row r="251" spans="2:9" ht="71.25" x14ac:dyDescent="0.2">
      <c r="B251" s="7" t="s">
        <v>945</v>
      </c>
      <c r="C251" s="29" t="s">
        <v>847</v>
      </c>
      <c r="D251" s="14" t="s">
        <v>920</v>
      </c>
      <c r="E251" s="10">
        <f>35.73*2.2*1+1*0.6*1+2*2.2*1</f>
        <v>83.605999999999995</v>
      </c>
      <c r="F251" s="7" t="s">
        <v>154</v>
      </c>
      <c r="G251" s="11"/>
      <c r="H251" s="31" t="s">
        <v>848</v>
      </c>
      <c r="I251" s="12">
        <v>10.4</v>
      </c>
    </row>
    <row r="252" spans="2:9" x14ac:dyDescent="0.2">
      <c r="B252" s="104" t="s">
        <v>724</v>
      </c>
      <c r="C252" s="113" t="s">
        <v>725</v>
      </c>
      <c r="D252" s="114"/>
      <c r="E252" s="107"/>
      <c r="F252" s="104"/>
      <c r="G252" s="11"/>
      <c r="H252" s="25"/>
      <c r="I252" s="12"/>
    </row>
    <row r="253" spans="2:9" ht="42.75" x14ac:dyDescent="0.2">
      <c r="B253" s="7" t="s">
        <v>726</v>
      </c>
      <c r="C253" s="32" t="s">
        <v>728</v>
      </c>
      <c r="D253" s="14" t="s">
        <v>732</v>
      </c>
      <c r="E253" s="10">
        <f>0.86*0.16*13+0.35*5</f>
        <v>3.5388000000000002</v>
      </c>
      <c r="F253" s="7" t="s">
        <v>154</v>
      </c>
      <c r="G253" s="11"/>
      <c r="H253" s="25" t="s">
        <v>197</v>
      </c>
      <c r="I253" s="12">
        <f>composições!H47</f>
        <v>357.15200000000004</v>
      </c>
    </row>
    <row r="254" spans="2:9" ht="57" x14ac:dyDescent="0.2">
      <c r="B254" s="7" t="s">
        <v>730</v>
      </c>
      <c r="C254" s="32" t="s">
        <v>951</v>
      </c>
      <c r="D254" s="14" t="s">
        <v>952</v>
      </c>
      <c r="E254" s="10">
        <f>9.08+4.03</f>
        <v>13.11</v>
      </c>
      <c r="F254" s="7" t="s">
        <v>333</v>
      </c>
      <c r="G254" s="11"/>
      <c r="H254" s="25" t="s">
        <v>950</v>
      </c>
      <c r="I254" s="12">
        <v>100.23</v>
      </c>
    </row>
    <row r="255" spans="2:9" ht="42.75" x14ac:dyDescent="0.2">
      <c r="B255" s="7" t="s">
        <v>922</v>
      </c>
      <c r="C255" s="32" t="s">
        <v>953</v>
      </c>
      <c r="D255" s="9" t="s">
        <v>497</v>
      </c>
      <c r="E255" s="10">
        <v>5</v>
      </c>
      <c r="F255" s="7" t="s">
        <v>41</v>
      </c>
      <c r="G255" s="11"/>
      <c r="H255" s="31" t="s">
        <v>963</v>
      </c>
      <c r="I255" s="12">
        <v>196.53</v>
      </c>
    </row>
    <row r="256" spans="2:9" x14ac:dyDescent="0.2">
      <c r="B256" s="104" t="s">
        <v>733</v>
      </c>
      <c r="C256" s="120" t="s">
        <v>734</v>
      </c>
      <c r="D256" s="114"/>
      <c r="E256" s="107"/>
      <c r="F256" s="104"/>
      <c r="G256" s="11"/>
      <c r="H256" s="25"/>
      <c r="I256" s="12"/>
    </row>
    <row r="257" spans="2:10" ht="57" x14ac:dyDescent="0.2">
      <c r="B257" s="7" t="s">
        <v>735</v>
      </c>
      <c r="C257" s="21" t="s">
        <v>764</v>
      </c>
      <c r="D257" s="9" t="s">
        <v>763</v>
      </c>
      <c r="E257" s="10">
        <v>42</v>
      </c>
      <c r="F257" s="7" t="s">
        <v>41</v>
      </c>
      <c r="G257" s="11"/>
      <c r="H257" s="31" t="s">
        <v>348</v>
      </c>
      <c r="I257" s="12">
        <v>10.84</v>
      </c>
    </row>
    <row r="258" spans="2:10" ht="57" x14ac:dyDescent="0.2">
      <c r="B258" s="7" t="s">
        <v>740</v>
      </c>
      <c r="C258" s="126" t="s">
        <v>765</v>
      </c>
      <c r="D258" s="9" t="s">
        <v>158</v>
      </c>
      <c r="E258" s="10">
        <v>3</v>
      </c>
      <c r="F258" s="7" t="s">
        <v>41</v>
      </c>
      <c r="G258" s="11"/>
      <c r="H258" s="25" t="s">
        <v>766</v>
      </c>
      <c r="I258" s="12">
        <v>34.53</v>
      </c>
    </row>
    <row r="259" spans="2:10" ht="57" x14ac:dyDescent="0.2">
      <c r="B259" s="7" t="s">
        <v>741</v>
      </c>
      <c r="C259" s="21" t="s">
        <v>336</v>
      </c>
      <c r="D259" s="9" t="s">
        <v>767</v>
      </c>
      <c r="E259" s="10">
        <v>153.5</v>
      </c>
      <c r="F259" s="7" t="s">
        <v>333</v>
      </c>
      <c r="G259" s="11"/>
      <c r="H259" s="31" t="s">
        <v>335</v>
      </c>
      <c r="I259" s="12">
        <v>13.35</v>
      </c>
    </row>
    <row r="260" spans="2:10" ht="57" x14ac:dyDescent="0.2">
      <c r="B260" s="7" t="s">
        <v>746</v>
      </c>
      <c r="C260" s="126" t="s">
        <v>770</v>
      </c>
      <c r="D260" s="9" t="s">
        <v>771</v>
      </c>
      <c r="E260" s="10">
        <f>8.35+0.36</f>
        <v>8.7099999999999991</v>
      </c>
      <c r="F260" s="7" t="s">
        <v>333</v>
      </c>
      <c r="G260" s="11"/>
      <c r="H260" s="25" t="s">
        <v>768</v>
      </c>
      <c r="I260" s="12">
        <v>38.18</v>
      </c>
    </row>
    <row r="261" spans="2:10" ht="57" x14ac:dyDescent="0.2">
      <c r="B261" s="7" t="s">
        <v>747</v>
      </c>
      <c r="C261" s="126" t="s">
        <v>772</v>
      </c>
      <c r="D261" s="9" t="s">
        <v>37</v>
      </c>
      <c r="E261" s="10">
        <v>1</v>
      </c>
      <c r="F261" s="7" t="s">
        <v>333</v>
      </c>
      <c r="G261" s="11"/>
      <c r="H261" s="25" t="s">
        <v>769</v>
      </c>
      <c r="I261" s="12">
        <v>27.23</v>
      </c>
    </row>
    <row r="262" spans="2:10" ht="57" x14ac:dyDescent="0.2">
      <c r="B262" s="7" t="s">
        <v>752</v>
      </c>
      <c r="C262" s="126" t="s">
        <v>774</v>
      </c>
      <c r="D262" s="9" t="s">
        <v>775</v>
      </c>
      <c r="E262" s="10">
        <v>92.1</v>
      </c>
      <c r="F262" s="7" t="s">
        <v>333</v>
      </c>
      <c r="G262" s="11"/>
      <c r="H262" s="25" t="s">
        <v>773</v>
      </c>
      <c r="I262" s="12">
        <v>9.6</v>
      </c>
    </row>
    <row r="263" spans="2:10" ht="71.25" x14ac:dyDescent="0.2">
      <c r="B263" s="7" t="s">
        <v>753</v>
      </c>
      <c r="C263" s="13" t="s">
        <v>342</v>
      </c>
      <c r="D263" s="9" t="s">
        <v>776</v>
      </c>
      <c r="E263" s="10">
        <v>84</v>
      </c>
      <c r="F263" s="7" t="s">
        <v>41</v>
      </c>
      <c r="G263" s="11"/>
      <c r="H263" s="31" t="s">
        <v>343</v>
      </c>
      <c r="I263" s="12">
        <v>9.67</v>
      </c>
    </row>
    <row r="264" spans="2:10" ht="57" x14ac:dyDescent="0.2">
      <c r="B264" s="7" t="s">
        <v>754</v>
      </c>
      <c r="C264" s="126" t="s">
        <v>777</v>
      </c>
      <c r="D264" s="9" t="s">
        <v>19</v>
      </c>
      <c r="E264" s="10">
        <v>6</v>
      </c>
      <c r="F264" s="7" t="s">
        <v>41</v>
      </c>
      <c r="G264" s="11"/>
      <c r="H264" s="25" t="s">
        <v>778</v>
      </c>
      <c r="I264" s="12">
        <v>20.59</v>
      </c>
    </row>
    <row r="265" spans="2:10" ht="71.25" x14ac:dyDescent="0.2">
      <c r="B265" s="7" t="s">
        <v>755</v>
      </c>
      <c r="C265" s="126" t="s">
        <v>780</v>
      </c>
      <c r="D265" s="9" t="s">
        <v>781</v>
      </c>
      <c r="E265" s="10">
        <f>20.2*3</f>
        <v>60.599999999999994</v>
      </c>
      <c r="F265" s="7" t="s">
        <v>333</v>
      </c>
      <c r="G265" s="11"/>
      <c r="H265" s="25" t="s">
        <v>779</v>
      </c>
      <c r="I265" s="12">
        <v>91.68</v>
      </c>
    </row>
    <row r="266" spans="2:10" ht="28.5" x14ac:dyDescent="0.2">
      <c r="B266" s="7" t="s">
        <v>756</v>
      </c>
      <c r="C266" s="126" t="s">
        <v>783</v>
      </c>
      <c r="D266" s="9" t="s">
        <v>37</v>
      </c>
      <c r="E266" s="10">
        <v>1</v>
      </c>
      <c r="F266" s="7" t="s">
        <v>41</v>
      </c>
      <c r="G266" s="11"/>
      <c r="H266" s="25" t="s">
        <v>782</v>
      </c>
      <c r="I266" s="12">
        <v>632.5</v>
      </c>
      <c r="J266" s="11"/>
    </row>
    <row r="267" spans="2:10" ht="42.75" x14ac:dyDescent="0.2">
      <c r="B267" s="7" t="s">
        <v>757</v>
      </c>
      <c r="C267" s="21" t="s">
        <v>784</v>
      </c>
      <c r="D267" s="9" t="s">
        <v>763</v>
      </c>
      <c r="E267" s="10">
        <v>42</v>
      </c>
      <c r="F267" s="7" t="s">
        <v>41</v>
      </c>
      <c r="G267" s="11"/>
      <c r="H267" s="31" t="s">
        <v>358</v>
      </c>
      <c r="I267" s="12">
        <v>6.16</v>
      </c>
    </row>
    <row r="268" spans="2:10" x14ac:dyDescent="0.2">
      <c r="B268" s="7" t="s">
        <v>758</v>
      </c>
      <c r="C268" s="32" t="s">
        <v>737</v>
      </c>
      <c r="D268" s="9" t="s">
        <v>158</v>
      </c>
      <c r="E268" s="10">
        <v>3</v>
      </c>
      <c r="F268" s="7" t="s">
        <v>41</v>
      </c>
      <c r="G268" s="11"/>
      <c r="H268" s="25" t="s">
        <v>736</v>
      </c>
      <c r="I268" s="12">
        <v>447.66</v>
      </c>
    </row>
    <row r="269" spans="2:10" ht="28.5" x14ac:dyDescent="0.2">
      <c r="B269" s="7" t="s">
        <v>759</v>
      </c>
      <c r="C269" s="126" t="s">
        <v>739</v>
      </c>
      <c r="D269" s="9" t="s">
        <v>158</v>
      </c>
      <c r="E269" s="10">
        <v>3</v>
      </c>
      <c r="F269" s="7" t="s">
        <v>41</v>
      </c>
      <c r="G269" s="11"/>
      <c r="H269" s="25" t="s">
        <v>738</v>
      </c>
      <c r="I269" s="12">
        <v>32.42</v>
      </c>
    </row>
    <row r="270" spans="2:10" x14ac:dyDescent="0.2">
      <c r="B270" s="7" t="s">
        <v>760</v>
      </c>
      <c r="C270" s="32" t="s">
        <v>742</v>
      </c>
      <c r="D270" s="9" t="s">
        <v>158</v>
      </c>
      <c r="E270" s="10">
        <v>3</v>
      </c>
      <c r="F270" s="7" t="s">
        <v>41</v>
      </c>
      <c r="G270" s="11"/>
      <c r="H270" s="25" t="s">
        <v>743</v>
      </c>
      <c r="I270" s="12">
        <v>2089.0300000000002</v>
      </c>
    </row>
    <row r="271" spans="2:10" x14ac:dyDescent="0.2">
      <c r="B271" s="7" t="s">
        <v>761</v>
      </c>
      <c r="C271" s="32" t="s">
        <v>745</v>
      </c>
      <c r="D271" s="9" t="s">
        <v>37</v>
      </c>
      <c r="E271" s="10">
        <v>1</v>
      </c>
      <c r="F271" s="7" t="s">
        <v>41</v>
      </c>
      <c r="G271" s="11"/>
      <c r="H271" s="25" t="s">
        <v>744</v>
      </c>
      <c r="I271" s="12">
        <v>478.59</v>
      </c>
    </row>
    <row r="272" spans="2:10" ht="42.75" x14ac:dyDescent="0.2">
      <c r="B272" s="7" t="s">
        <v>762</v>
      </c>
      <c r="C272" s="126" t="s">
        <v>749</v>
      </c>
      <c r="D272" s="9" t="s">
        <v>37</v>
      </c>
      <c r="E272" s="10">
        <v>1</v>
      </c>
      <c r="F272" s="7" t="s">
        <v>41</v>
      </c>
      <c r="G272" s="11"/>
      <c r="H272" s="25" t="s">
        <v>748</v>
      </c>
      <c r="I272" s="12">
        <v>450.98</v>
      </c>
    </row>
    <row r="273" spans="2:9" ht="28.5" x14ac:dyDescent="0.2">
      <c r="B273" s="7" t="s">
        <v>787</v>
      </c>
      <c r="C273" s="126" t="s">
        <v>751</v>
      </c>
      <c r="D273" s="9" t="s">
        <v>37</v>
      </c>
      <c r="E273" s="10">
        <v>1</v>
      </c>
      <c r="F273" s="7" t="s">
        <v>41</v>
      </c>
      <c r="G273" s="11"/>
      <c r="H273" s="25" t="s">
        <v>750</v>
      </c>
      <c r="I273" s="12">
        <v>130.51</v>
      </c>
    </row>
    <row r="274" spans="2:9" ht="28.5" x14ac:dyDescent="0.2">
      <c r="B274" s="7" t="s">
        <v>790</v>
      </c>
      <c r="C274" s="32" t="s">
        <v>786</v>
      </c>
      <c r="D274" s="9" t="s">
        <v>24</v>
      </c>
      <c r="E274" s="10">
        <v>2</v>
      </c>
      <c r="F274" s="7" t="s">
        <v>41</v>
      </c>
      <c r="G274" s="11"/>
      <c r="H274" s="25" t="s">
        <v>785</v>
      </c>
      <c r="I274" s="12">
        <v>45.66</v>
      </c>
    </row>
    <row r="275" spans="2:9" ht="57" x14ac:dyDescent="0.2">
      <c r="B275" s="7" t="s">
        <v>793</v>
      </c>
      <c r="C275" s="32" t="s">
        <v>789</v>
      </c>
      <c r="D275" s="9" t="s">
        <v>763</v>
      </c>
      <c r="E275" s="10">
        <v>42</v>
      </c>
      <c r="F275" s="7" t="s">
        <v>41</v>
      </c>
      <c r="G275" s="11"/>
      <c r="H275" s="25" t="s">
        <v>788</v>
      </c>
      <c r="I275" s="12">
        <v>65.03</v>
      </c>
    </row>
    <row r="276" spans="2:9" x14ac:dyDescent="0.2">
      <c r="B276" s="7" t="s">
        <v>915</v>
      </c>
      <c r="C276" s="32" t="s">
        <v>792</v>
      </c>
      <c r="D276" s="9" t="s">
        <v>794</v>
      </c>
      <c r="E276" s="10">
        <v>1787.96</v>
      </c>
      <c r="F276" s="7" t="s">
        <v>333</v>
      </c>
      <c r="G276" s="11"/>
      <c r="H276" s="25" t="s">
        <v>791</v>
      </c>
      <c r="I276" s="12">
        <v>3.14</v>
      </c>
    </row>
    <row r="277" spans="2:9" x14ac:dyDescent="0.2">
      <c r="B277" s="7"/>
      <c r="C277" s="32"/>
      <c r="D277" s="9"/>
      <c r="E277" s="10"/>
      <c r="F277" s="7"/>
      <c r="G277" s="11"/>
      <c r="H277" s="25"/>
      <c r="I277" s="12"/>
    </row>
    <row r="278" spans="2:9" x14ac:dyDescent="0.2">
      <c r="B278" s="15">
        <v>4</v>
      </c>
      <c r="C278" s="127" t="s">
        <v>830</v>
      </c>
      <c r="D278" s="27"/>
      <c r="E278" s="17"/>
      <c r="F278" s="15"/>
      <c r="G278" s="11"/>
      <c r="H278" s="25"/>
      <c r="I278" s="12"/>
    </row>
    <row r="279" spans="2:9" x14ac:dyDescent="0.2">
      <c r="B279" s="104" t="s">
        <v>34</v>
      </c>
      <c r="C279" s="120" t="s">
        <v>831</v>
      </c>
      <c r="D279" s="114"/>
      <c r="E279" s="107"/>
      <c r="F279" s="104"/>
      <c r="G279" s="11"/>
      <c r="H279" s="25"/>
      <c r="I279" s="12"/>
    </row>
    <row r="280" spans="2:9" ht="71.25" x14ac:dyDescent="0.2">
      <c r="B280" s="7" t="s">
        <v>795</v>
      </c>
      <c r="C280" s="21" t="s">
        <v>957</v>
      </c>
      <c r="D280" s="14" t="s">
        <v>954</v>
      </c>
      <c r="E280" s="10">
        <f>0.43*0.2*0.2*4</f>
        <v>6.8800000000000014E-2</v>
      </c>
      <c r="F280" s="7" t="s">
        <v>191</v>
      </c>
      <c r="G280" s="11"/>
      <c r="H280" s="11" t="s">
        <v>210</v>
      </c>
      <c r="I280" s="12">
        <v>2461.61</v>
      </c>
    </row>
    <row r="281" spans="2:9" ht="57" x14ac:dyDescent="0.2">
      <c r="B281" s="7" t="s">
        <v>806</v>
      </c>
      <c r="C281" s="126" t="s">
        <v>955</v>
      </c>
      <c r="D281" s="9" t="s">
        <v>956</v>
      </c>
      <c r="E281" s="10">
        <f>(0.46*2+0.92*2)*0.19</f>
        <v>0.52440000000000009</v>
      </c>
      <c r="F281" s="7" t="s">
        <v>191</v>
      </c>
      <c r="G281" s="11"/>
      <c r="H281" s="25" t="s">
        <v>197</v>
      </c>
      <c r="I281" s="12">
        <f>composições!H18</f>
        <v>655.38589999999999</v>
      </c>
    </row>
    <row r="282" spans="2:9" ht="85.5" x14ac:dyDescent="0.2">
      <c r="B282" s="7" t="s">
        <v>807</v>
      </c>
      <c r="C282" s="21" t="s">
        <v>958</v>
      </c>
      <c r="D282" s="14" t="s">
        <v>959</v>
      </c>
      <c r="E282" s="10">
        <f>8*0.2*0.2</f>
        <v>0.32000000000000006</v>
      </c>
      <c r="F282" s="7" t="s">
        <v>191</v>
      </c>
      <c r="G282" s="11"/>
      <c r="H282" s="11" t="s">
        <v>210</v>
      </c>
      <c r="I282" s="12">
        <v>2461.61</v>
      </c>
    </row>
    <row r="283" spans="2:9" ht="85.5" x14ac:dyDescent="0.2">
      <c r="B283" s="7" t="s">
        <v>808</v>
      </c>
      <c r="C283" s="32" t="s">
        <v>834</v>
      </c>
      <c r="D283" s="9" t="s">
        <v>835</v>
      </c>
      <c r="E283" s="10">
        <f>2.31*2.56</f>
        <v>5.9136000000000006</v>
      </c>
      <c r="F283" s="7" t="s">
        <v>154</v>
      </c>
      <c r="G283" s="11"/>
      <c r="H283" s="25" t="s">
        <v>833</v>
      </c>
      <c r="I283" s="12">
        <v>127.9</v>
      </c>
    </row>
    <row r="284" spans="2:9" ht="114" x14ac:dyDescent="0.2">
      <c r="B284" s="7" t="s">
        <v>809</v>
      </c>
      <c r="C284" s="29" t="s">
        <v>832</v>
      </c>
      <c r="D284" s="14" t="s">
        <v>960</v>
      </c>
      <c r="E284" s="10">
        <f>8*1.82</f>
        <v>14.56</v>
      </c>
      <c r="F284" s="7" t="s">
        <v>154</v>
      </c>
      <c r="G284" s="11"/>
      <c r="H284" s="31" t="s">
        <v>823</v>
      </c>
      <c r="I284" s="12">
        <v>86.61</v>
      </c>
    </row>
    <row r="285" spans="2:9" ht="71.25" x14ac:dyDescent="0.2">
      <c r="B285" s="7" t="s">
        <v>810</v>
      </c>
      <c r="C285" s="32" t="s">
        <v>818</v>
      </c>
      <c r="D285" s="14" t="s">
        <v>961</v>
      </c>
      <c r="E285" s="10">
        <f>5.13*2+14.79</f>
        <v>25.049999999999997</v>
      </c>
      <c r="F285" s="7" t="s">
        <v>154</v>
      </c>
      <c r="G285" s="11"/>
      <c r="H285" s="25" t="s">
        <v>828</v>
      </c>
      <c r="I285" s="12">
        <v>4.0999999999999996</v>
      </c>
    </row>
    <row r="286" spans="2:9" ht="99.75" x14ac:dyDescent="0.2">
      <c r="B286" s="7" t="s">
        <v>811</v>
      </c>
      <c r="C286" s="29" t="s">
        <v>331</v>
      </c>
      <c r="D286" s="14" t="s">
        <v>961</v>
      </c>
      <c r="E286" s="10">
        <f>5.13*2+14.79</f>
        <v>25.049999999999997</v>
      </c>
      <c r="F286" s="7" t="s">
        <v>154</v>
      </c>
      <c r="G286" s="11"/>
      <c r="H286" s="31" t="s">
        <v>829</v>
      </c>
      <c r="I286" s="12">
        <v>24.27</v>
      </c>
    </row>
    <row r="287" spans="2:9" ht="42.75" x14ac:dyDescent="0.2">
      <c r="B287" s="7" t="s">
        <v>836</v>
      </c>
      <c r="C287" s="8" t="s">
        <v>837</v>
      </c>
      <c r="D287" s="14" t="s">
        <v>37</v>
      </c>
      <c r="E287" s="10">
        <v>1</v>
      </c>
      <c r="F287" s="7" t="s">
        <v>41</v>
      </c>
      <c r="G287" s="11"/>
      <c r="H287" s="11">
        <v>102609</v>
      </c>
      <c r="I287" s="12">
        <v>1242.31</v>
      </c>
    </row>
    <row r="288" spans="2:9" x14ac:dyDescent="0.2">
      <c r="B288" s="7"/>
      <c r="C288" s="32"/>
      <c r="D288" s="9"/>
      <c r="E288" s="10"/>
      <c r="F288" s="7"/>
      <c r="G288" s="11"/>
      <c r="H288" s="25"/>
      <c r="I288" s="12"/>
    </row>
    <row r="289" spans="2:9" x14ac:dyDescent="0.2">
      <c r="B289" s="15">
        <v>5</v>
      </c>
      <c r="C289" s="144" t="s">
        <v>814</v>
      </c>
      <c r="D289" s="16"/>
      <c r="E289" s="17"/>
      <c r="F289" s="15"/>
      <c r="G289" s="11"/>
      <c r="H289" s="31"/>
      <c r="I289" s="12"/>
    </row>
    <row r="290" spans="2:9" ht="42.75" x14ac:dyDescent="0.2">
      <c r="B290" s="7" t="s">
        <v>29</v>
      </c>
      <c r="C290" s="29" t="s">
        <v>815</v>
      </c>
      <c r="D290" s="14" t="s">
        <v>863</v>
      </c>
      <c r="E290" s="10">
        <f>0.8*0.8*1*16+(46-16)*0.3</f>
        <v>19.240000000000002</v>
      </c>
      <c r="F290" s="7" t="s">
        <v>191</v>
      </c>
      <c r="G290" s="11"/>
      <c r="H290" s="31" t="s">
        <v>820</v>
      </c>
      <c r="I290" s="12">
        <v>77.569999999999993</v>
      </c>
    </row>
    <row r="291" spans="2:9" ht="42.75" x14ac:dyDescent="0.2">
      <c r="B291" s="7" t="s">
        <v>30</v>
      </c>
      <c r="C291" s="29" t="s">
        <v>816</v>
      </c>
      <c r="D291" s="14" t="s">
        <v>861</v>
      </c>
      <c r="E291" s="10">
        <f>0.6*0.6*0.4*53</f>
        <v>7.6319999999999997</v>
      </c>
      <c r="F291" s="7" t="s">
        <v>191</v>
      </c>
      <c r="G291" s="11"/>
      <c r="H291" s="31" t="s">
        <v>821</v>
      </c>
      <c r="I291" s="12">
        <v>567.54999999999995</v>
      </c>
    </row>
    <row r="292" spans="2:9" ht="85.5" x14ac:dyDescent="0.2">
      <c r="B292" s="7" t="s">
        <v>31</v>
      </c>
      <c r="C292" s="29" t="s">
        <v>312</v>
      </c>
      <c r="D292" s="14" t="s">
        <v>862</v>
      </c>
      <c r="E292" s="10">
        <f>0.1*0.3*1.2*16</f>
        <v>0.57599999999999996</v>
      </c>
      <c r="F292" s="7" t="s">
        <v>191</v>
      </c>
      <c r="G292" s="11"/>
      <c r="H292" s="31" t="s">
        <v>210</v>
      </c>
      <c r="I292" s="12">
        <v>2461.61</v>
      </c>
    </row>
    <row r="293" spans="2:9" ht="28.5" x14ac:dyDescent="0.2">
      <c r="B293" s="7" t="s">
        <v>32</v>
      </c>
      <c r="C293" s="29" t="s">
        <v>817</v>
      </c>
      <c r="D293" s="14" t="s">
        <v>864</v>
      </c>
      <c r="E293" s="10">
        <f>0.8*0.8*0.6*16-0.1*0.3*1.2*16</f>
        <v>5.5680000000000014</v>
      </c>
      <c r="F293" s="7" t="s">
        <v>191</v>
      </c>
      <c r="G293" s="11"/>
      <c r="H293" s="31" t="s">
        <v>822</v>
      </c>
      <c r="I293" s="12">
        <v>23.47</v>
      </c>
    </row>
    <row r="294" spans="2:9" ht="28.5" x14ac:dyDescent="0.2">
      <c r="B294" s="7" t="s">
        <v>160</v>
      </c>
      <c r="C294" s="29" t="s">
        <v>968</v>
      </c>
      <c r="D294" s="14" t="s">
        <v>865</v>
      </c>
      <c r="E294" s="10">
        <f>(46-4.8)*0.2*0.3</f>
        <v>2.472</v>
      </c>
      <c r="F294" s="7" t="s">
        <v>191</v>
      </c>
      <c r="G294" s="11"/>
      <c r="H294" s="31" t="s">
        <v>197</v>
      </c>
      <c r="I294" s="12">
        <f>composições!H18</f>
        <v>655.38589999999999</v>
      </c>
    </row>
    <row r="295" spans="2:9" ht="57" x14ac:dyDescent="0.2">
      <c r="B295" s="7" t="s">
        <v>854</v>
      </c>
      <c r="C295" s="29" t="s">
        <v>315</v>
      </c>
      <c r="D295" s="14" t="s">
        <v>866</v>
      </c>
      <c r="E295" s="10">
        <f>46-4.8</f>
        <v>41.2</v>
      </c>
      <c r="F295" s="7" t="s">
        <v>333</v>
      </c>
      <c r="G295" s="11"/>
      <c r="H295" s="31" t="s">
        <v>824</v>
      </c>
      <c r="I295" s="12">
        <v>67.59</v>
      </c>
    </row>
    <row r="296" spans="2:9" ht="71.25" x14ac:dyDescent="0.2">
      <c r="B296" s="7" t="s">
        <v>855</v>
      </c>
      <c r="C296" s="29" t="s">
        <v>318</v>
      </c>
      <c r="D296" s="14" t="s">
        <v>867</v>
      </c>
      <c r="E296" s="10">
        <f>(46-4.8)*1.6</f>
        <v>65.92</v>
      </c>
      <c r="F296" s="7" t="s">
        <v>154</v>
      </c>
      <c r="G296" s="11"/>
      <c r="H296" s="31" t="s">
        <v>823</v>
      </c>
      <c r="I296" s="12">
        <v>86.61</v>
      </c>
    </row>
    <row r="297" spans="2:9" ht="71.25" x14ac:dyDescent="0.2">
      <c r="B297" s="7" t="s">
        <v>856</v>
      </c>
      <c r="C297" s="29" t="s">
        <v>319</v>
      </c>
      <c r="D297" s="14" t="s">
        <v>868</v>
      </c>
      <c r="E297" s="10">
        <f>0.1*0.3*1.6*16</f>
        <v>0.76800000000000002</v>
      </c>
      <c r="F297" s="7" t="s">
        <v>333</v>
      </c>
      <c r="G297" s="11"/>
      <c r="H297" s="31" t="s">
        <v>210</v>
      </c>
      <c r="I297" s="12">
        <v>2461.61</v>
      </c>
    </row>
    <row r="298" spans="2:9" ht="57" x14ac:dyDescent="0.2">
      <c r="B298" s="7" t="s">
        <v>857</v>
      </c>
      <c r="C298" s="29" t="s">
        <v>826</v>
      </c>
      <c r="D298" s="14" t="s">
        <v>869</v>
      </c>
      <c r="E298" s="10">
        <v>16</v>
      </c>
      <c r="F298" s="7" t="s">
        <v>333</v>
      </c>
      <c r="G298" s="11"/>
      <c r="H298" s="31" t="s">
        <v>825</v>
      </c>
      <c r="I298" s="12">
        <v>39.630000000000003</v>
      </c>
    </row>
    <row r="299" spans="2:9" ht="71.25" x14ac:dyDescent="0.2">
      <c r="B299" s="7" t="s">
        <v>858</v>
      </c>
      <c r="C299" s="29" t="s">
        <v>818</v>
      </c>
      <c r="D299" s="14" t="s">
        <v>870</v>
      </c>
      <c r="E299" s="10">
        <f>46*2*2</f>
        <v>184</v>
      </c>
      <c r="F299" s="7" t="s">
        <v>154</v>
      </c>
      <c r="G299" s="11"/>
      <c r="H299" s="31" t="s">
        <v>828</v>
      </c>
      <c r="I299" s="12">
        <v>4.0999999999999996</v>
      </c>
    </row>
    <row r="300" spans="2:9" ht="99.75" x14ac:dyDescent="0.2">
      <c r="B300" s="7" t="s">
        <v>859</v>
      </c>
      <c r="C300" s="29" t="s">
        <v>331</v>
      </c>
      <c r="D300" s="14" t="s">
        <v>870</v>
      </c>
      <c r="E300" s="10">
        <f>46*2*2</f>
        <v>184</v>
      </c>
      <c r="F300" s="7" t="s">
        <v>154</v>
      </c>
      <c r="G300" s="11"/>
      <c r="H300" s="31" t="s">
        <v>829</v>
      </c>
      <c r="I300" s="12">
        <v>24.27</v>
      </c>
    </row>
    <row r="301" spans="2:9" ht="42.75" x14ac:dyDescent="0.2">
      <c r="B301" s="7" t="s">
        <v>860</v>
      </c>
      <c r="C301" s="29" t="s">
        <v>819</v>
      </c>
      <c r="D301" s="14" t="s">
        <v>827</v>
      </c>
      <c r="E301" s="10">
        <f>(157.96-5)*2*2</f>
        <v>611.84</v>
      </c>
      <c r="F301" s="7" t="s">
        <v>154</v>
      </c>
      <c r="G301" s="11"/>
      <c r="H301" s="31" t="s">
        <v>39</v>
      </c>
      <c r="I301" s="12">
        <v>12.18</v>
      </c>
    </row>
    <row r="302" spans="2:9" x14ac:dyDescent="0.2">
      <c r="B302" s="7"/>
      <c r="C302" s="29"/>
      <c r="D302" s="14"/>
      <c r="E302" s="10"/>
      <c r="F302" s="7"/>
      <c r="G302" s="11"/>
      <c r="H302" s="31"/>
      <c r="I302" s="12"/>
    </row>
    <row r="303" spans="2:9" ht="28.5" x14ac:dyDescent="0.2">
      <c r="B303" s="15">
        <v>6</v>
      </c>
      <c r="C303" s="30" t="s">
        <v>1001</v>
      </c>
      <c r="D303" s="85" t="s">
        <v>152</v>
      </c>
      <c r="E303" s="17"/>
      <c r="F303" s="15"/>
      <c r="G303" s="11"/>
      <c r="H303" s="31"/>
      <c r="I303" s="12"/>
    </row>
    <row r="304" spans="2:9" x14ac:dyDescent="0.2">
      <c r="B304" s="104" t="s">
        <v>885</v>
      </c>
      <c r="C304" s="105" t="s">
        <v>964</v>
      </c>
      <c r="D304" s="106"/>
      <c r="E304" s="107"/>
      <c r="F304" s="104"/>
      <c r="G304" s="11"/>
      <c r="H304" s="31"/>
      <c r="I304" s="12"/>
    </row>
    <row r="305" spans="2:9" ht="42.75" x14ac:dyDescent="0.2">
      <c r="B305" s="7" t="s">
        <v>965</v>
      </c>
      <c r="C305" s="29" t="s">
        <v>815</v>
      </c>
      <c r="D305" s="14" t="s">
        <v>972</v>
      </c>
      <c r="E305" s="10">
        <f>90.22*0.3*0.3</f>
        <v>8.1197999999999997</v>
      </c>
      <c r="F305" s="7" t="s">
        <v>191</v>
      </c>
      <c r="G305" s="11"/>
      <c r="H305" s="31" t="s">
        <v>820</v>
      </c>
      <c r="I305" s="12">
        <v>77.569999999999993</v>
      </c>
    </row>
    <row r="306" spans="2:9" ht="57" x14ac:dyDescent="0.2">
      <c r="B306" s="7" t="s">
        <v>966</v>
      </c>
      <c r="C306" s="13" t="s">
        <v>967</v>
      </c>
      <c r="D306" s="14" t="s">
        <v>973</v>
      </c>
      <c r="E306" s="10">
        <f>90.22*0.3*0.05</f>
        <v>1.3532999999999999</v>
      </c>
      <c r="F306" s="7" t="s">
        <v>191</v>
      </c>
      <c r="G306" s="11"/>
      <c r="H306" s="11">
        <v>96620</v>
      </c>
      <c r="I306" s="12">
        <v>541.20000000000005</v>
      </c>
    </row>
    <row r="307" spans="2:9" ht="28.5" x14ac:dyDescent="0.2">
      <c r="B307" s="7" t="s">
        <v>969</v>
      </c>
      <c r="C307" s="29" t="s">
        <v>968</v>
      </c>
      <c r="D307" s="14" t="s">
        <v>974</v>
      </c>
      <c r="E307" s="10">
        <f>90.22*0.4*0.19</f>
        <v>6.8567200000000001</v>
      </c>
      <c r="F307" s="7" t="s">
        <v>191</v>
      </c>
      <c r="G307" s="11"/>
      <c r="H307" s="31" t="s">
        <v>197</v>
      </c>
      <c r="I307" s="12">
        <f>composições!H18</f>
        <v>655.38589999999999</v>
      </c>
    </row>
    <row r="308" spans="2:9" ht="42.75" x14ac:dyDescent="0.2">
      <c r="B308" s="7" t="s">
        <v>970</v>
      </c>
      <c r="C308" s="13" t="s">
        <v>316</v>
      </c>
      <c r="D308" s="14" t="s">
        <v>976</v>
      </c>
      <c r="E308" s="10">
        <f>62.19*0.2</f>
        <v>12.438000000000001</v>
      </c>
      <c r="F308" s="7" t="s">
        <v>191</v>
      </c>
      <c r="G308" s="11"/>
      <c r="H308" s="11">
        <v>93382</v>
      </c>
      <c r="I308" s="12">
        <v>22.25</v>
      </c>
    </row>
    <row r="309" spans="2:9" ht="57" x14ac:dyDescent="0.2">
      <c r="B309" s="7" t="s">
        <v>971</v>
      </c>
      <c r="C309" s="13" t="s">
        <v>967</v>
      </c>
      <c r="D309" s="14" t="s">
        <v>977</v>
      </c>
      <c r="E309" s="10">
        <f>62.19*0.2</f>
        <v>12.438000000000001</v>
      </c>
      <c r="F309" s="7" t="s">
        <v>191</v>
      </c>
      <c r="G309" s="11"/>
      <c r="H309" s="11">
        <v>96620</v>
      </c>
      <c r="I309" s="12">
        <v>541.20000000000005</v>
      </c>
    </row>
    <row r="310" spans="2:9" x14ac:dyDescent="0.2">
      <c r="B310" s="104" t="s">
        <v>886</v>
      </c>
      <c r="C310" s="112" t="s">
        <v>978</v>
      </c>
      <c r="D310" s="106"/>
      <c r="E310" s="107"/>
      <c r="F310" s="104"/>
      <c r="G310" s="11"/>
      <c r="H310" s="11"/>
      <c r="I310" s="12"/>
    </row>
    <row r="311" spans="2:9" ht="42.75" x14ac:dyDescent="0.2">
      <c r="B311" s="7" t="s">
        <v>979</v>
      </c>
      <c r="C311" s="29" t="s">
        <v>815</v>
      </c>
      <c r="D311" s="14" t="s">
        <v>989</v>
      </c>
      <c r="E311" s="10">
        <f>23.56*0.3*0.3</f>
        <v>2.1203999999999996</v>
      </c>
      <c r="F311" s="7" t="s">
        <v>191</v>
      </c>
      <c r="G311" s="11"/>
      <c r="H311" s="31" t="s">
        <v>820</v>
      </c>
      <c r="I311" s="12">
        <v>77.569999999999993</v>
      </c>
    </row>
    <row r="312" spans="2:9" ht="57" x14ac:dyDescent="0.2">
      <c r="B312" s="7" t="s">
        <v>980</v>
      </c>
      <c r="C312" s="13" t="s">
        <v>967</v>
      </c>
      <c r="D312" s="14" t="s">
        <v>990</v>
      </c>
      <c r="E312" s="10">
        <f>23.56*0.3*0.05</f>
        <v>0.35339999999999999</v>
      </c>
      <c r="F312" s="7" t="s">
        <v>191</v>
      </c>
      <c r="G312" s="11"/>
      <c r="H312" s="11">
        <v>96620</v>
      </c>
      <c r="I312" s="12">
        <v>541.20000000000005</v>
      </c>
    </row>
    <row r="313" spans="2:9" ht="28.5" x14ac:dyDescent="0.2">
      <c r="B313" s="7" t="s">
        <v>981</v>
      </c>
      <c r="C313" s="13" t="s">
        <v>985</v>
      </c>
      <c r="D313" s="14" t="s">
        <v>992</v>
      </c>
      <c r="E313" s="10">
        <f>20.56*0.19</f>
        <v>3.9063999999999997</v>
      </c>
      <c r="F313" s="7" t="s">
        <v>191</v>
      </c>
      <c r="G313" s="11"/>
      <c r="H313" s="11" t="s">
        <v>197</v>
      </c>
      <c r="I313" s="12">
        <f>composições!H18</f>
        <v>655.38589999999999</v>
      </c>
    </row>
    <row r="314" spans="2:9" ht="71.25" x14ac:dyDescent="0.2">
      <c r="B314" s="7" t="s">
        <v>982</v>
      </c>
      <c r="C314" s="29" t="s">
        <v>818</v>
      </c>
      <c r="D314" s="14" t="s">
        <v>993</v>
      </c>
      <c r="E314" s="10">
        <f>20.56</f>
        <v>20.56</v>
      </c>
      <c r="F314" s="7" t="s">
        <v>154</v>
      </c>
      <c r="G314" s="11"/>
      <c r="H314" s="31" t="s">
        <v>828</v>
      </c>
      <c r="I314" s="12">
        <v>4.0999999999999996</v>
      </c>
    </row>
    <row r="315" spans="2:9" ht="99.75" x14ac:dyDescent="0.2">
      <c r="B315" s="7" t="s">
        <v>983</v>
      </c>
      <c r="C315" s="29" t="s">
        <v>331</v>
      </c>
      <c r="D315" s="14" t="s">
        <v>993</v>
      </c>
      <c r="E315" s="10">
        <f>20.56</f>
        <v>20.56</v>
      </c>
      <c r="F315" s="7" t="s">
        <v>154</v>
      </c>
      <c r="G315" s="11"/>
      <c r="H315" s="31" t="s">
        <v>829</v>
      </c>
      <c r="I315" s="12">
        <v>24.27</v>
      </c>
    </row>
    <row r="316" spans="2:9" ht="42.75" x14ac:dyDescent="0.2">
      <c r="B316" s="7" t="s">
        <v>984</v>
      </c>
      <c r="C316" s="13" t="s">
        <v>317</v>
      </c>
      <c r="D316" s="14" t="s">
        <v>996</v>
      </c>
      <c r="E316" s="10">
        <v>10.050000000000001</v>
      </c>
      <c r="F316" s="7" t="s">
        <v>191</v>
      </c>
      <c r="G316" s="11"/>
      <c r="H316" s="11">
        <v>94319</v>
      </c>
      <c r="I316" s="12">
        <v>76.08</v>
      </c>
    </row>
    <row r="317" spans="2:9" ht="71.25" x14ac:dyDescent="0.2">
      <c r="B317" s="7" t="s">
        <v>986</v>
      </c>
      <c r="C317" s="8" t="s">
        <v>839</v>
      </c>
      <c r="D317" s="14" t="s">
        <v>997</v>
      </c>
      <c r="E317" s="10">
        <f>(6.41+3.92+7.32+2.56)*0.05</f>
        <v>1.0105</v>
      </c>
      <c r="F317" s="7" t="s">
        <v>191</v>
      </c>
      <c r="G317" s="11"/>
      <c r="H317" s="11">
        <v>94990</v>
      </c>
      <c r="I317" s="12">
        <v>759.19</v>
      </c>
    </row>
    <row r="318" spans="2:9" ht="42.75" x14ac:dyDescent="0.2">
      <c r="B318" s="7" t="s">
        <v>987</v>
      </c>
      <c r="C318" s="8" t="s">
        <v>921</v>
      </c>
      <c r="D318" s="14" t="s">
        <v>998</v>
      </c>
      <c r="E318" s="10">
        <f>17.28*0.25</f>
        <v>4.32</v>
      </c>
      <c r="F318" s="7" t="s">
        <v>154</v>
      </c>
      <c r="G318" s="11"/>
      <c r="H318" s="11">
        <v>104658</v>
      </c>
      <c r="I318" s="12">
        <v>138.21</v>
      </c>
    </row>
    <row r="319" spans="2:9" ht="28.5" x14ac:dyDescent="0.2">
      <c r="B319" s="7" t="s">
        <v>994</v>
      </c>
      <c r="C319" s="8" t="s">
        <v>889</v>
      </c>
      <c r="D319" s="14" t="s">
        <v>999</v>
      </c>
      <c r="E319" s="10">
        <f>8.71+2.31</f>
        <v>11.020000000000001</v>
      </c>
      <c r="F319" s="7" t="s">
        <v>333</v>
      </c>
      <c r="G319" s="11"/>
      <c r="H319" s="11" t="s">
        <v>888</v>
      </c>
      <c r="I319" s="12">
        <v>135.56</v>
      </c>
    </row>
    <row r="320" spans="2:9" x14ac:dyDescent="0.2">
      <c r="B320" s="104" t="s">
        <v>887</v>
      </c>
      <c r="C320" s="112" t="s">
        <v>1002</v>
      </c>
      <c r="D320" s="106"/>
      <c r="E320" s="107"/>
      <c r="F320" s="104"/>
      <c r="G320" s="11"/>
      <c r="H320" s="11"/>
      <c r="I320" s="12"/>
    </row>
    <row r="321" spans="2:9" ht="42.75" x14ac:dyDescent="0.2">
      <c r="B321" s="7" t="s">
        <v>1000</v>
      </c>
      <c r="C321" s="13" t="s">
        <v>1004</v>
      </c>
      <c r="D321" s="14" t="s">
        <v>1003</v>
      </c>
      <c r="E321" s="10">
        <f>(1.36*0.17+1.33*0.34+1.33*0.51+1.33*0.68+1.33*0.85)*0.19</f>
        <v>0.64535400000000009</v>
      </c>
      <c r="F321" s="7" t="s">
        <v>191</v>
      </c>
      <c r="G321" s="11"/>
      <c r="H321" s="11" t="s">
        <v>197</v>
      </c>
      <c r="I321" s="12">
        <f>composições!H18</f>
        <v>655.38589999999999</v>
      </c>
    </row>
    <row r="322" spans="2:9" ht="57" x14ac:dyDescent="0.2">
      <c r="B322" s="7" t="s">
        <v>1005</v>
      </c>
      <c r="C322" s="13" t="s">
        <v>1009</v>
      </c>
      <c r="D322" s="14" t="s">
        <v>1008</v>
      </c>
      <c r="E322" s="10">
        <f>0.11*0.12+0.11*0.29+0.11*0.46+0.11*0.63+0.11*0.8</f>
        <v>0.253</v>
      </c>
      <c r="F322" s="7" t="s">
        <v>191</v>
      </c>
      <c r="G322" s="11"/>
      <c r="H322" s="11">
        <v>94319</v>
      </c>
      <c r="I322" s="12">
        <v>76.08</v>
      </c>
    </row>
    <row r="323" spans="2:9" ht="71.25" x14ac:dyDescent="0.2">
      <c r="B323" s="7" t="s">
        <v>1006</v>
      </c>
      <c r="C323" s="8" t="s">
        <v>839</v>
      </c>
      <c r="D323" s="14" t="s">
        <v>1010</v>
      </c>
      <c r="E323" s="10">
        <f>0.11*0.05*5</f>
        <v>2.7500000000000004E-2</v>
      </c>
      <c r="F323" s="7" t="s">
        <v>191</v>
      </c>
      <c r="G323" s="11"/>
      <c r="H323" s="11">
        <v>94990</v>
      </c>
      <c r="I323" s="12">
        <v>759.19</v>
      </c>
    </row>
    <row r="324" spans="2:9" ht="42.75" x14ac:dyDescent="0.2">
      <c r="B324" s="7" t="s">
        <v>1007</v>
      </c>
      <c r="C324" s="21" t="s">
        <v>1012</v>
      </c>
      <c r="D324" s="14" t="s">
        <v>1013</v>
      </c>
      <c r="E324" s="10">
        <f>2.42*1.33</f>
        <v>3.2185999999999999</v>
      </c>
      <c r="F324" s="7" t="s">
        <v>154</v>
      </c>
      <c r="G324" s="11"/>
      <c r="H324" s="11" t="s">
        <v>1011</v>
      </c>
      <c r="I324" s="12">
        <v>31.93</v>
      </c>
    </row>
    <row r="325" spans="2:9" x14ac:dyDescent="0.2">
      <c r="B325" s="7"/>
      <c r="C325" s="29"/>
      <c r="D325" s="14"/>
      <c r="E325" s="10"/>
      <c r="F325" s="7"/>
      <c r="G325" s="11"/>
      <c r="H325" s="31"/>
      <c r="I325" s="12"/>
    </row>
    <row r="326" spans="2:9" x14ac:dyDescent="0.2">
      <c r="B326" s="15">
        <v>6</v>
      </c>
      <c r="C326" s="30" t="s">
        <v>40</v>
      </c>
      <c r="D326" s="85" t="s">
        <v>152</v>
      </c>
      <c r="E326" s="17"/>
      <c r="F326" s="15"/>
      <c r="G326" s="11"/>
      <c r="H326" s="11"/>
      <c r="I326" s="12"/>
    </row>
    <row r="327" spans="2:9" ht="85.5" x14ac:dyDescent="0.2">
      <c r="B327" s="7" t="s">
        <v>885</v>
      </c>
      <c r="C327" s="8" t="s">
        <v>838</v>
      </c>
      <c r="D327" s="14" t="s">
        <v>1014</v>
      </c>
      <c r="E327" s="10">
        <v>133.33000000000001</v>
      </c>
      <c r="F327" s="7" t="s">
        <v>191</v>
      </c>
      <c r="G327" s="11"/>
      <c r="H327" s="11">
        <v>100982</v>
      </c>
      <c r="I327" s="12">
        <v>8.6199999999999992</v>
      </c>
    </row>
    <row r="328" spans="2:9" ht="42.75" x14ac:dyDescent="0.2">
      <c r="B328" s="7" t="s">
        <v>886</v>
      </c>
      <c r="C328" s="8" t="s">
        <v>840</v>
      </c>
      <c r="D328" s="14" t="s">
        <v>170</v>
      </c>
      <c r="E328" s="10">
        <v>46.54</v>
      </c>
      <c r="F328" s="7" t="s">
        <v>154</v>
      </c>
      <c r="G328" s="11"/>
      <c r="H328" s="11">
        <v>99803</v>
      </c>
      <c r="I328" s="12">
        <v>1.75</v>
      </c>
    </row>
    <row r="329" spans="2:9" ht="28.5" x14ac:dyDescent="0.2">
      <c r="B329" s="7" t="s">
        <v>887</v>
      </c>
      <c r="C329" s="8" t="s">
        <v>841</v>
      </c>
      <c r="D329" s="14" t="s">
        <v>171</v>
      </c>
      <c r="E329" s="10">
        <v>261.36</v>
      </c>
      <c r="F329" s="7" t="s">
        <v>154</v>
      </c>
      <c r="G329" s="11"/>
      <c r="H329" s="11">
        <v>99806</v>
      </c>
      <c r="I329" s="12">
        <v>0.72</v>
      </c>
    </row>
  </sheetData>
  <mergeCells count="3">
    <mergeCell ref="B6:F6"/>
    <mergeCell ref="B8:F8"/>
    <mergeCell ref="B10:F10"/>
  </mergeCells>
  <phoneticPr fontId="6" type="noConversion"/>
  <pageMargins left="0.35" right="0.37" top="0.78740157480314965" bottom="0.78740157480314965" header="0.31496062992125984" footer="0.31496062992125984"/>
  <pageSetup paperSize="9" orientation="landscape" horizontalDpi="360" verticalDpi="360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2"/>
  <sheetViews>
    <sheetView tabSelected="1" topLeftCell="A4" workbookViewId="0">
      <selection activeCell="I16" sqref="I16"/>
    </sheetView>
  </sheetViews>
  <sheetFormatPr defaultRowHeight="14.25" x14ac:dyDescent="0.2"/>
  <cols>
    <col min="1" max="1" width="3.125" customWidth="1"/>
    <col min="2" max="2" width="7.375" customWidth="1"/>
    <col min="3" max="3" width="31.625" customWidth="1"/>
    <col min="4" max="4" width="7" customWidth="1"/>
    <col min="5" max="5" width="10.5" customWidth="1"/>
    <col min="6" max="6" width="10.875" style="11" customWidth="1"/>
    <col min="7" max="7" width="10.875" style="12" customWidth="1"/>
    <col min="8" max="9" width="11.125" style="12" customWidth="1"/>
    <col min="10" max="10" width="11.375" style="12" customWidth="1"/>
    <col min="11" max="11" width="8.5" style="12" customWidth="1"/>
    <col min="13" max="13" width="9.625" bestFit="1" customWidth="1"/>
  </cols>
  <sheetData>
    <row r="1" spans="2:13" x14ac:dyDescent="0.2">
      <c r="B1" s="1"/>
      <c r="C1" s="2"/>
      <c r="D1" s="25"/>
      <c r="E1" s="12"/>
    </row>
    <row r="2" spans="2:13" x14ac:dyDescent="0.2">
      <c r="B2" s="1"/>
      <c r="C2" s="2"/>
      <c r="D2" s="25"/>
      <c r="E2" s="12"/>
    </row>
    <row r="3" spans="2:13" x14ac:dyDescent="0.2">
      <c r="B3" s="1"/>
      <c r="C3" s="2"/>
      <c r="D3" s="25"/>
      <c r="E3" s="12"/>
    </row>
    <row r="4" spans="2:13" x14ac:dyDescent="0.2">
      <c r="B4" s="182"/>
      <c r="C4" s="183"/>
      <c r="D4" s="184"/>
      <c r="E4" s="185"/>
      <c r="F4" s="186"/>
      <c r="G4" s="185"/>
      <c r="H4" s="185"/>
      <c r="I4" s="185"/>
      <c r="J4" s="185"/>
      <c r="K4" s="187"/>
    </row>
    <row r="5" spans="2:13" ht="14.25" customHeight="1" x14ac:dyDescent="0.2">
      <c r="B5" s="188"/>
      <c r="C5" s="189"/>
      <c r="D5" s="213"/>
      <c r="E5" s="215"/>
      <c r="F5" s="215"/>
      <c r="G5" s="215"/>
      <c r="H5" s="215"/>
      <c r="I5" s="211"/>
      <c r="J5" s="191"/>
      <c r="K5" s="193"/>
    </row>
    <row r="6" spans="2:13" x14ac:dyDescent="0.2">
      <c r="B6" s="207"/>
      <c r="C6" s="208"/>
      <c r="D6" s="208"/>
      <c r="E6" s="215"/>
      <c r="F6" s="215"/>
      <c r="G6" s="215"/>
      <c r="H6" s="215"/>
      <c r="I6" s="212"/>
      <c r="J6" s="210"/>
      <c r="K6" s="209"/>
    </row>
    <row r="7" spans="2:13" x14ac:dyDescent="0.2">
      <c r="B7" s="188"/>
      <c r="C7" s="189"/>
      <c r="D7" s="213" t="s">
        <v>1018</v>
      </c>
      <c r="E7" s="230" t="s">
        <v>178</v>
      </c>
      <c r="F7" s="230"/>
      <c r="G7" s="230"/>
      <c r="H7" s="230"/>
      <c r="I7" s="191"/>
      <c r="J7" s="191"/>
      <c r="K7" s="193"/>
    </row>
    <row r="8" spans="2:13" ht="20.25" customHeight="1" x14ac:dyDescent="0.3">
      <c r="B8" s="204"/>
      <c r="C8" s="205"/>
      <c r="D8" s="205"/>
      <c r="E8" s="230"/>
      <c r="F8" s="230"/>
      <c r="G8" s="230"/>
      <c r="H8" s="230"/>
      <c r="I8" s="211" t="s">
        <v>1020</v>
      </c>
      <c r="J8" s="191" t="s">
        <v>185</v>
      </c>
      <c r="K8" s="206"/>
      <c r="M8" s="279"/>
    </row>
    <row r="9" spans="2:13" x14ac:dyDescent="0.2">
      <c r="B9" s="188"/>
      <c r="C9" s="189"/>
      <c r="D9" s="190"/>
      <c r="E9" s="191"/>
      <c r="F9" s="192"/>
      <c r="G9" s="191"/>
      <c r="H9" s="191"/>
      <c r="I9" s="212" t="s">
        <v>84</v>
      </c>
      <c r="J9" s="210">
        <v>45906</v>
      </c>
      <c r="K9" s="193"/>
      <c r="M9" s="279"/>
    </row>
    <row r="10" spans="2:13" ht="15.75" x14ac:dyDescent="0.25">
      <c r="B10" s="227" t="s">
        <v>1019</v>
      </c>
      <c r="C10" s="228"/>
      <c r="D10" s="228"/>
      <c r="E10" s="228"/>
      <c r="F10" s="228"/>
      <c r="G10" s="228"/>
      <c r="H10" s="228"/>
      <c r="I10" s="228"/>
      <c r="J10" s="228"/>
      <c r="K10" s="229"/>
      <c r="M10" s="279"/>
    </row>
    <row r="11" spans="2:13" ht="18.75" x14ac:dyDescent="0.3">
      <c r="B11" s="194"/>
      <c r="C11" s="195"/>
      <c r="D11" s="195"/>
      <c r="E11" s="195"/>
      <c r="F11" s="196"/>
      <c r="G11" s="196"/>
      <c r="H11" s="196"/>
      <c r="I11" s="196"/>
      <c r="J11" s="196"/>
      <c r="K11" s="193"/>
      <c r="M11" s="279"/>
    </row>
    <row r="12" spans="2:13" x14ac:dyDescent="0.2">
      <c r="B12" s="197"/>
      <c r="C12" s="198"/>
      <c r="D12" s="198"/>
      <c r="E12" s="198"/>
      <c r="F12" s="199"/>
      <c r="G12" s="200"/>
      <c r="H12" s="201"/>
      <c r="I12" s="214" t="s">
        <v>50</v>
      </c>
      <c r="J12" s="202">
        <f>BDI!C20</f>
        <v>0.24999603778631085</v>
      </c>
      <c r="K12" s="203"/>
      <c r="M12" s="279"/>
    </row>
    <row r="13" spans="2:13" x14ac:dyDescent="0.2">
      <c r="B13" s="233" t="s">
        <v>1</v>
      </c>
      <c r="C13" s="235" t="s">
        <v>2</v>
      </c>
      <c r="D13" s="233" t="s">
        <v>41</v>
      </c>
      <c r="E13" s="237" t="s">
        <v>42</v>
      </c>
      <c r="F13" s="237" t="s">
        <v>43</v>
      </c>
      <c r="G13" s="237"/>
      <c r="H13" s="237"/>
      <c r="I13" s="237"/>
      <c r="J13" s="237"/>
      <c r="K13" s="232" t="s">
        <v>48</v>
      </c>
      <c r="M13" s="279"/>
    </row>
    <row r="14" spans="2:13" ht="25.5" x14ac:dyDescent="0.2">
      <c r="B14" s="234"/>
      <c r="C14" s="236"/>
      <c r="D14" s="234"/>
      <c r="E14" s="237"/>
      <c r="F14" s="223" t="s">
        <v>49</v>
      </c>
      <c r="G14" s="181" t="s">
        <v>44</v>
      </c>
      <c r="H14" s="181" t="s">
        <v>45</v>
      </c>
      <c r="I14" s="181" t="s">
        <v>46</v>
      </c>
      <c r="J14" s="181" t="s">
        <v>47</v>
      </c>
      <c r="K14" s="232"/>
      <c r="M14" s="279"/>
    </row>
    <row r="15" spans="2:13" x14ac:dyDescent="0.2">
      <c r="B15" s="178">
        <v>1</v>
      </c>
      <c r="C15" s="179" t="s">
        <v>6</v>
      </c>
      <c r="D15" s="161"/>
      <c r="E15" s="180"/>
      <c r="F15" s="161"/>
      <c r="G15" s="163"/>
      <c r="H15" s="163"/>
      <c r="I15" s="163"/>
      <c r="J15" s="163">
        <f>SUM(J16:J30)</f>
        <v>19495.357208282159</v>
      </c>
      <c r="K15" s="163">
        <f>SUM(K16:K30)</f>
        <v>4.3504381156934588</v>
      </c>
      <c r="M15" s="279"/>
    </row>
    <row r="16" spans="2:13" ht="57" x14ac:dyDescent="0.2">
      <c r="B16" s="7" t="s">
        <v>7</v>
      </c>
      <c r="C16" s="8" t="s">
        <v>298</v>
      </c>
      <c r="D16" s="7" t="s">
        <v>154</v>
      </c>
      <c r="E16" s="10">
        <f>MEMÓRIA!E14</f>
        <v>3.75</v>
      </c>
      <c r="F16" s="7">
        <v>103689</v>
      </c>
      <c r="G16" s="10">
        <v>462.56</v>
      </c>
      <c r="H16" s="10">
        <f>G16*$J$12</f>
        <v>115.63816723843595</v>
      </c>
      <c r="I16" s="10">
        <v>474.12249713551751</v>
      </c>
      <c r="J16" s="10">
        <f>E16*I16</f>
        <v>1777.9593642581906</v>
      </c>
      <c r="K16" s="131">
        <f t="shared" ref="K16:K30" si="0">J16/$J$332*100</f>
        <v>0.39675611499628988</v>
      </c>
      <c r="M16" s="280"/>
    </row>
    <row r="17" spans="2:13" ht="42.75" x14ac:dyDescent="0.2">
      <c r="B17" s="7" t="s">
        <v>9</v>
      </c>
      <c r="C17" s="13" t="s">
        <v>299</v>
      </c>
      <c r="D17" s="7" t="s">
        <v>154</v>
      </c>
      <c r="E17" s="10">
        <f>MEMÓRIA!E15</f>
        <v>46.5</v>
      </c>
      <c r="F17" s="7">
        <v>97644</v>
      </c>
      <c r="G17" s="10">
        <v>8.6999999999999993</v>
      </c>
      <c r="H17" s="10">
        <f t="shared" ref="H17:H78" si="1">G17*$J$12</f>
        <v>2.1749655287409042</v>
      </c>
      <c r="I17" s="10">
        <v>8.91747173356754</v>
      </c>
      <c r="J17" s="10">
        <f t="shared" ref="J17:J78" si="2">E17*I17</f>
        <v>414.66243561089061</v>
      </c>
      <c r="K17" s="131">
        <f t="shared" si="0"/>
        <v>9.2532968016689157E-2</v>
      </c>
      <c r="M17" s="280"/>
    </row>
    <row r="18" spans="2:13" ht="42.75" x14ac:dyDescent="0.2">
      <c r="B18" s="7" t="s">
        <v>10</v>
      </c>
      <c r="C18" s="13" t="s">
        <v>300</v>
      </c>
      <c r="D18" s="7" t="s">
        <v>154</v>
      </c>
      <c r="E18" s="10">
        <f>MEMÓRIA!E16</f>
        <v>37.277500000000003</v>
      </c>
      <c r="F18" s="7">
        <v>97645</v>
      </c>
      <c r="G18" s="10">
        <v>22.47</v>
      </c>
      <c r="H18" s="10">
        <f t="shared" si="1"/>
        <v>5.6174109690584046</v>
      </c>
      <c r="I18" s="10">
        <v>23.03167699462789</v>
      </c>
      <c r="J18" s="10">
        <f t="shared" si="2"/>
        <v>858.56333916724122</v>
      </c>
      <c r="K18" s="131">
        <f t="shared" si="0"/>
        <v>0.19159057387588846</v>
      </c>
      <c r="M18" s="280"/>
    </row>
    <row r="19" spans="2:13" ht="57" x14ac:dyDescent="0.2">
      <c r="B19" s="7" t="s">
        <v>11</v>
      </c>
      <c r="C19" s="13" t="s">
        <v>301</v>
      </c>
      <c r="D19" s="7" t="s">
        <v>154</v>
      </c>
      <c r="E19" s="10">
        <f>MEMÓRIA!E17</f>
        <v>357.84</v>
      </c>
      <c r="F19" s="7">
        <v>97647</v>
      </c>
      <c r="G19" s="10">
        <v>3.23</v>
      </c>
      <c r="H19" s="10">
        <f t="shared" si="1"/>
        <v>0.80748720204978408</v>
      </c>
      <c r="I19" s="10">
        <v>3.3107395056808224</v>
      </c>
      <c r="J19" s="10">
        <f t="shared" si="2"/>
        <v>1184.7150247128254</v>
      </c>
      <c r="K19" s="131">
        <f t="shared" si="0"/>
        <v>0.26437214484871419</v>
      </c>
      <c r="M19" s="280"/>
    </row>
    <row r="20" spans="2:13" ht="57" x14ac:dyDescent="0.2">
      <c r="B20" s="7" t="s">
        <v>12</v>
      </c>
      <c r="C20" s="13" t="s">
        <v>302</v>
      </c>
      <c r="D20" s="10" t="s">
        <v>41</v>
      </c>
      <c r="E20" s="10">
        <f>MEMÓRIA!E18</f>
        <v>40</v>
      </c>
      <c r="F20" s="7">
        <v>97660</v>
      </c>
      <c r="G20" s="10">
        <v>0.6</v>
      </c>
      <c r="H20" s="10">
        <f t="shared" si="1"/>
        <v>0.14999762267178651</v>
      </c>
      <c r="I20" s="10">
        <v>0.61499805059086499</v>
      </c>
      <c r="J20" s="10">
        <f t="shared" si="2"/>
        <v>24.599922023634598</v>
      </c>
      <c r="K20" s="131">
        <f t="shared" si="0"/>
        <v>5.4895346246460024E-3</v>
      </c>
      <c r="M20" s="280"/>
    </row>
    <row r="21" spans="2:13" ht="42.75" x14ac:dyDescent="0.2">
      <c r="B21" s="7" t="s">
        <v>13</v>
      </c>
      <c r="C21" s="13" t="s">
        <v>303</v>
      </c>
      <c r="D21" s="10" t="s">
        <v>41</v>
      </c>
      <c r="E21" s="10">
        <f>MEMÓRIA!E19</f>
        <v>45</v>
      </c>
      <c r="F21" s="7">
        <v>97665</v>
      </c>
      <c r="G21" s="10">
        <v>1.64</v>
      </c>
      <c r="H21" s="10">
        <f t="shared" si="1"/>
        <v>0.40999350196954976</v>
      </c>
      <c r="I21" s="10">
        <v>1.6809946716150308</v>
      </c>
      <c r="J21" s="10">
        <f t="shared" si="2"/>
        <v>75.644760222676382</v>
      </c>
      <c r="K21" s="131">
        <f t="shared" si="0"/>
        <v>1.6880318970786456E-2</v>
      </c>
      <c r="M21" s="280"/>
    </row>
    <row r="22" spans="2:13" ht="42.75" x14ac:dyDescent="0.2">
      <c r="B22" s="7" t="s">
        <v>14</v>
      </c>
      <c r="C22" s="13" t="s">
        <v>304</v>
      </c>
      <c r="D22" s="7" t="s">
        <v>41</v>
      </c>
      <c r="E22" s="10">
        <f>MEMÓRIA!E20</f>
        <v>22</v>
      </c>
      <c r="F22" s="7">
        <v>97663</v>
      </c>
      <c r="G22" s="10">
        <v>11.49</v>
      </c>
      <c r="H22" s="10">
        <f t="shared" si="1"/>
        <v>2.8724544741647118</v>
      </c>
      <c r="I22" s="10">
        <v>11.777212668815064</v>
      </c>
      <c r="J22" s="10">
        <f t="shared" si="2"/>
        <v>259.09867871393141</v>
      </c>
      <c r="K22" s="131">
        <f t="shared" si="0"/>
        <v>5.7818523434084015E-2</v>
      </c>
      <c r="M22" s="280"/>
    </row>
    <row r="23" spans="2:13" ht="57" x14ac:dyDescent="0.2">
      <c r="B23" s="7" t="s">
        <v>16</v>
      </c>
      <c r="C23" s="13" t="s">
        <v>305</v>
      </c>
      <c r="D23" s="7" t="s">
        <v>191</v>
      </c>
      <c r="E23" s="10">
        <f>MEMÓRIA!E21</f>
        <v>27.638399999999997</v>
      </c>
      <c r="F23" s="7">
        <v>97622</v>
      </c>
      <c r="G23" s="10">
        <v>51.76</v>
      </c>
      <c r="H23" s="10">
        <f t="shared" si="1"/>
        <v>12.93979491581945</v>
      </c>
      <c r="I23" s="10">
        <v>53.053831830971951</v>
      </c>
      <c r="J23" s="10">
        <f t="shared" si="2"/>
        <v>1466.3230256771351</v>
      </c>
      <c r="K23" s="131">
        <f t="shared" si="0"/>
        <v>0.32721368029690334</v>
      </c>
      <c r="M23" s="280"/>
    </row>
    <row r="24" spans="2:13" ht="42.75" x14ac:dyDescent="0.2">
      <c r="B24" s="7" t="s">
        <v>17</v>
      </c>
      <c r="C24" s="13" t="s">
        <v>306</v>
      </c>
      <c r="D24" s="7" t="s">
        <v>191</v>
      </c>
      <c r="E24" s="10">
        <f>MEMÓRIA!E22</f>
        <v>0.51600000000000001</v>
      </c>
      <c r="F24" s="7" t="s">
        <v>281</v>
      </c>
      <c r="G24" s="10">
        <v>40.700000000000003</v>
      </c>
      <c r="H24" s="10">
        <f t="shared" si="1"/>
        <v>10.174838737902853</v>
      </c>
      <c r="I24" s="10">
        <v>41.71736776508034</v>
      </c>
      <c r="J24" s="10">
        <f t="shared" si="2"/>
        <v>21.526161766781456</v>
      </c>
      <c r="K24" s="131">
        <f t="shared" si="0"/>
        <v>4.8036172732964849E-3</v>
      </c>
      <c r="M24" s="280"/>
    </row>
    <row r="25" spans="2:13" ht="42.75" x14ac:dyDescent="0.2">
      <c r="B25" s="7" t="s">
        <v>94</v>
      </c>
      <c r="C25" s="13" t="s">
        <v>307</v>
      </c>
      <c r="D25" s="7" t="s">
        <v>191</v>
      </c>
      <c r="E25" s="10">
        <f>MEMÓRIA!E23</f>
        <v>9.8840000000000011E-2</v>
      </c>
      <c r="F25" s="7">
        <v>97629</v>
      </c>
      <c r="G25" s="10">
        <v>61.22</v>
      </c>
      <c r="H25" s="10">
        <f t="shared" si="1"/>
        <v>15.304757433277951</v>
      </c>
      <c r="I25" s="10">
        <v>62.750301095287924</v>
      </c>
      <c r="J25" s="10">
        <f t="shared" si="2"/>
        <v>6.2022397602582595</v>
      </c>
      <c r="K25" s="131">
        <f t="shared" si="0"/>
        <v>1.3840454405336113E-3</v>
      </c>
      <c r="M25" s="280"/>
    </row>
    <row r="26" spans="2:13" ht="57" x14ac:dyDescent="0.2">
      <c r="B26" s="7" t="s">
        <v>104</v>
      </c>
      <c r="C26" s="13" t="s">
        <v>908</v>
      </c>
      <c r="D26" s="7" t="s">
        <v>154</v>
      </c>
      <c r="E26" s="10">
        <f>MEMÓRIA!E24</f>
        <v>1764.826</v>
      </c>
      <c r="F26" s="7">
        <v>104791</v>
      </c>
      <c r="G26" s="10">
        <v>4.82</v>
      </c>
      <c r="H26" s="10">
        <f t="shared" si="1"/>
        <v>1.2049809021300184</v>
      </c>
      <c r="I26" s="10">
        <v>4.9404843397466154</v>
      </c>
      <c r="J26" s="10">
        <f t="shared" si="2"/>
        <v>8719.0952153776598</v>
      </c>
      <c r="K26" s="131">
        <f t="shared" si="0"/>
        <v>1.9456880812229973</v>
      </c>
      <c r="M26" s="280"/>
    </row>
    <row r="27" spans="2:13" ht="57" x14ac:dyDescent="0.2">
      <c r="B27" s="7" t="s">
        <v>105</v>
      </c>
      <c r="C27" s="13" t="s">
        <v>909</v>
      </c>
      <c r="D27" s="7" t="s">
        <v>154</v>
      </c>
      <c r="E27" s="10">
        <f>MEMÓRIA!E25</f>
        <v>464.07999999999993</v>
      </c>
      <c r="F27" s="7">
        <v>97634</v>
      </c>
      <c r="G27" s="10">
        <v>5.52</v>
      </c>
      <c r="H27" s="10">
        <f t="shared" si="1"/>
        <v>1.3799781285804358</v>
      </c>
      <c r="I27" s="10">
        <v>5.6579820654359567</v>
      </c>
      <c r="J27" s="10">
        <f t="shared" si="2"/>
        <v>2625.7563169275186</v>
      </c>
      <c r="K27" s="131">
        <f t="shared" si="0"/>
        <v>0.58594414257931471</v>
      </c>
      <c r="M27" s="280"/>
    </row>
    <row r="28" spans="2:13" ht="28.5" x14ac:dyDescent="0.2">
      <c r="B28" s="7" t="s">
        <v>106</v>
      </c>
      <c r="C28" s="13" t="s">
        <v>308</v>
      </c>
      <c r="D28" s="7" t="s">
        <v>154</v>
      </c>
      <c r="E28" s="10">
        <f>MEMÓRIA!E26</f>
        <v>26.45</v>
      </c>
      <c r="F28" s="7" t="s">
        <v>161</v>
      </c>
      <c r="G28" s="10">
        <v>20.96</v>
      </c>
      <c r="H28" s="10">
        <f t="shared" si="1"/>
        <v>5.2399169520010753</v>
      </c>
      <c r="I28" s="10">
        <v>21.483931900640883</v>
      </c>
      <c r="J28" s="10">
        <f t="shared" si="2"/>
        <v>568.24999877195137</v>
      </c>
      <c r="K28" s="131">
        <f t="shared" si="0"/>
        <v>0.1268064199844478</v>
      </c>
      <c r="M28" s="280"/>
    </row>
    <row r="29" spans="2:13" ht="85.5" x14ac:dyDescent="0.2">
      <c r="B29" s="7" t="s">
        <v>107</v>
      </c>
      <c r="C29" s="13" t="s">
        <v>309</v>
      </c>
      <c r="D29" s="7" t="s">
        <v>191</v>
      </c>
      <c r="E29" s="10">
        <f>MEMÓRIA!E27</f>
        <v>9.0341999999999985</v>
      </c>
      <c r="F29" s="7">
        <v>104790</v>
      </c>
      <c r="G29" s="10">
        <v>89.23</v>
      </c>
      <c r="H29" s="10">
        <f t="shared" si="1"/>
        <v>22.307146451672519</v>
      </c>
      <c r="I29" s="10">
        <v>91.46046009037147</v>
      </c>
      <c r="J29" s="10">
        <f t="shared" si="2"/>
        <v>826.27208854843377</v>
      </c>
      <c r="K29" s="131">
        <f t="shared" si="0"/>
        <v>0.18438469988267997</v>
      </c>
      <c r="M29" s="280"/>
    </row>
    <row r="30" spans="2:13" ht="71.25" x14ac:dyDescent="0.2">
      <c r="B30" s="7" t="s">
        <v>198</v>
      </c>
      <c r="C30" s="13" t="s">
        <v>440</v>
      </c>
      <c r="D30" s="7" t="s">
        <v>333</v>
      </c>
      <c r="E30" s="10">
        <f>MEMÓRIA!E28</f>
        <v>11</v>
      </c>
      <c r="F30" s="7">
        <v>99059</v>
      </c>
      <c r="G30" s="10">
        <v>59.13</v>
      </c>
      <c r="H30" s="10">
        <f t="shared" si="1"/>
        <v>14.782265714304561</v>
      </c>
      <c r="I30" s="10">
        <v>60.60805788572975</v>
      </c>
      <c r="J30" s="10">
        <f t="shared" si="2"/>
        <v>666.68863674302725</v>
      </c>
      <c r="K30" s="131">
        <f t="shared" si="0"/>
        <v>0.14877325024618748</v>
      </c>
      <c r="M30" s="280"/>
    </row>
    <row r="31" spans="2:13" x14ac:dyDescent="0.2">
      <c r="B31" s="7"/>
      <c r="C31" s="13"/>
      <c r="D31" s="7"/>
      <c r="E31" s="10"/>
      <c r="F31" s="7"/>
      <c r="G31" s="10"/>
      <c r="H31" s="10"/>
      <c r="I31" s="10"/>
      <c r="J31" s="10"/>
      <c r="K31" s="131"/>
      <c r="M31" s="280"/>
    </row>
    <row r="32" spans="2:13" x14ac:dyDescent="0.2">
      <c r="B32" s="161">
        <v>2</v>
      </c>
      <c r="C32" s="173" t="s">
        <v>278</v>
      </c>
      <c r="D32" s="161"/>
      <c r="E32" s="163"/>
      <c r="F32" s="161"/>
      <c r="G32" s="163"/>
      <c r="H32" s="163"/>
      <c r="I32" s="164"/>
      <c r="J32" s="163">
        <f>J33+J42+J47+J55+J60+J66+J70+J86+J93+J106+J113</f>
        <v>37179.486913312583</v>
      </c>
      <c r="K32" s="163">
        <f>K33+K42+K47+K55+K60+K66+K70+K86+K93+K106+K113</f>
        <v>8.2966962472935215</v>
      </c>
      <c r="M32" s="281"/>
    </row>
    <row r="33" spans="2:13" x14ac:dyDescent="0.2">
      <c r="B33" s="157" t="s">
        <v>21</v>
      </c>
      <c r="C33" s="167" t="s">
        <v>199</v>
      </c>
      <c r="D33" s="157"/>
      <c r="E33" s="160"/>
      <c r="F33" s="166"/>
      <c r="G33" s="160"/>
      <c r="H33" s="160"/>
      <c r="I33" s="160"/>
      <c r="J33" s="159">
        <f>SUM(J34:J41)</f>
        <v>8151.0869198083119</v>
      </c>
      <c r="K33" s="159">
        <f>SUM(K34:K41)</f>
        <v>1.81893559791763</v>
      </c>
      <c r="M33" s="280"/>
    </row>
    <row r="34" spans="2:13" ht="28.5" x14ac:dyDescent="0.2">
      <c r="B34" s="7" t="s">
        <v>200</v>
      </c>
      <c r="C34" s="13" t="s">
        <v>310</v>
      </c>
      <c r="D34" s="7" t="s">
        <v>191</v>
      </c>
      <c r="E34" s="10">
        <f>MEMÓRIA!E32</f>
        <v>7.549199999999999</v>
      </c>
      <c r="F34" s="7">
        <v>93358</v>
      </c>
      <c r="G34" s="10">
        <v>73.849999999999994</v>
      </c>
      <c r="H34" s="10">
        <f t="shared" si="1"/>
        <v>18.462207390519055</v>
      </c>
      <c r="I34" s="10">
        <v>75.696010060225618</v>
      </c>
      <c r="J34" s="10">
        <f t="shared" si="2"/>
        <v>571.44431914665518</v>
      </c>
      <c r="K34" s="131">
        <f t="shared" ref="K34:K41" si="3">J34/$J$332*100</f>
        <v>0.12751924063007022</v>
      </c>
      <c r="M34" s="280"/>
    </row>
    <row r="35" spans="2:13" ht="57" x14ac:dyDescent="0.2">
      <c r="B35" s="7" t="s">
        <v>201</v>
      </c>
      <c r="C35" s="13" t="s">
        <v>311</v>
      </c>
      <c r="D35" s="7" t="s">
        <v>191</v>
      </c>
      <c r="E35" s="10">
        <f>MEMÓRIA!E33</f>
        <v>1.6</v>
      </c>
      <c r="F35" s="128">
        <v>102487</v>
      </c>
      <c r="G35" s="129">
        <v>552.03</v>
      </c>
      <c r="H35" s="10">
        <f t="shared" si="1"/>
        <v>138.00531273917719</v>
      </c>
      <c r="I35" s="10">
        <v>565.82895644612529</v>
      </c>
      <c r="J35" s="10">
        <f t="shared" si="2"/>
        <v>905.32633031380055</v>
      </c>
      <c r="K35" s="131">
        <f t="shared" si="3"/>
        <v>0.20202585325622222</v>
      </c>
      <c r="M35" s="280"/>
    </row>
    <row r="36" spans="2:13" ht="85.5" x14ac:dyDescent="0.2">
      <c r="B36" s="7" t="s">
        <v>202</v>
      </c>
      <c r="C36" s="8" t="s">
        <v>312</v>
      </c>
      <c r="D36" s="7" t="s">
        <v>191</v>
      </c>
      <c r="E36" s="10">
        <f>MEMÓRIA!E34</f>
        <v>0.36000000000000004</v>
      </c>
      <c r="F36" s="128" t="s">
        <v>210</v>
      </c>
      <c r="G36" s="129">
        <v>2461.61</v>
      </c>
      <c r="H36" s="10">
        <f t="shared" si="1"/>
        <v>615.39274657516069</v>
      </c>
      <c r="I36" s="10">
        <v>2523.142252191632</v>
      </c>
      <c r="J36" s="10">
        <f t="shared" si="2"/>
        <v>908.33121078898762</v>
      </c>
      <c r="K36" s="131">
        <f t="shared" si="3"/>
        <v>0.20269639991062274</v>
      </c>
      <c r="M36" s="280"/>
    </row>
    <row r="37" spans="2:13" ht="42.75" x14ac:dyDescent="0.2">
      <c r="B37" s="7" t="s">
        <v>203</v>
      </c>
      <c r="C37" s="13" t="s">
        <v>313</v>
      </c>
      <c r="D37" s="7" t="s">
        <v>191</v>
      </c>
      <c r="E37" s="10">
        <f>MEMÓRIA!E35</f>
        <v>0.24570000000000003</v>
      </c>
      <c r="F37" s="128">
        <v>96620</v>
      </c>
      <c r="G37" s="129">
        <v>541.20000000000005</v>
      </c>
      <c r="H37" s="10">
        <f t="shared" si="1"/>
        <v>135.29785564995146</v>
      </c>
      <c r="I37" s="10">
        <v>554.72824163296025</v>
      </c>
      <c r="J37" s="10">
        <f t="shared" si="2"/>
        <v>136.29672896921835</v>
      </c>
      <c r="K37" s="131">
        <f t="shared" si="3"/>
        <v>3.0414958721563048E-2</v>
      </c>
      <c r="M37" s="280"/>
    </row>
    <row r="38" spans="2:13" ht="42.75" x14ac:dyDescent="0.2">
      <c r="B38" s="7" t="s">
        <v>204</v>
      </c>
      <c r="C38" s="13" t="s">
        <v>314</v>
      </c>
      <c r="D38" s="7" t="s">
        <v>191</v>
      </c>
      <c r="E38" s="10">
        <f>MEMÓRIA!E36</f>
        <v>5.0025000000000004</v>
      </c>
      <c r="F38" s="128" t="s">
        <v>197</v>
      </c>
      <c r="G38" s="129">
        <f>composições!H18</f>
        <v>655.38589999999999</v>
      </c>
      <c r="H38" s="10">
        <f t="shared" si="1"/>
        <v>163.84387822101536</v>
      </c>
      <c r="I38" s="10">
        <v>671.76841814123259</v>
      </c>
      <c r="J38" s="10">
        <f t="shared" si="2"/>
        <v>3360.5215117515163</v>
      </c>
      <c r="K38" s="131">
        <f t="shared" si="3"/>
        <v>0.74990884840626248</v>
      </c>
      <c r="M38" s="280"/>
    </row>
    <row r="39" spans="2:13" ht="42.75" x14ac:dyDescent="0.2">
      <c r="B39" s="7" t="s">
        <v>205</v>
      </c>
      <c r="C39" s="13" t="s">
        <v>934</v>
      </c>
      <c r="D39" s="7" t="s">
        <v>333</v>
      </c>
      <c r="E39" s="10">
        <f>MEMÓRIA!E37</f>
        <v>13.600000000000001</v>
      </c>
      <c r="F39" s="128" t="s">
        <v>197</v>
      </c>
      <c r="G39" s="129">
        <f>composições!H27</f>
        <v>100.35164000000002</v>
      </c>
      <c r="H39" s="10">
        <f t="shared" si="1"/>
        <v>25.087512385358266</v>
      </c>
      <c r="I39" s="10">
        <v>102.86010495599379</v>
      </c>
      <c r="J39" s="10">
        <f t="shared" si="2"/>
        <v>1398.8974274015156</v>
      </c>
      <c r="K39" s="131">
        <f t="shared" si="3"/>
        <v>0.31216748803800615</v>
      </c>
      <c r="M39" s="280"/>
    </row>
    <row r="40" spans="2:13" ht="42.75" x14ac:dyDescent="0.2">
      <c r="B40" s="7" t="s">
        <v>206</v>
      </c>
      <c r="C40" s="13" t="s">
        <v>316</v>
      </c>
      <c r="D40" s="7" t="s">
        <v>191</v>
      </c>
      <c r="E40" s="10">
        <f>MEMÓRIA!E38</f>
        <v>2</v>
      </c>
      <c r="F40" s="128">
        <v>93382</v>
      </c>
      <c r="G40" s="129">
        <v>22.25</v>
      </c>
      <c r="H40" s="10">
        <f t="shared" si="1"/>
        <v>5.5624118407454164</v>
      </c>
      <c r="I40" s="10">
        <v>22.806177709411241</v>
      </c>
      <c r="J40" s="10">
        <f t="shared" si="2"/>
        <v>45.612355418822482</v>
      </c>
      <c r="K40" s="131">
        <f t="shared" si="3"/>
        <v>1.0178512116531129E-2</v>
      </c>
      <c r="M40" s="280"/>
    </row>
    <row r="41" spans="2:13" ht="57" x14ac:dyDescent="0.2">
      <c r="B41" s="7" t="s">
        <v>207</v>
      </c>
      <c r="C41" s="13" t="s">
        <v>317</v>
      </c>
      <c r="D41" s="7" t="s">
        <v>191</v>
      </c>
      <c r="E41" s="10">
        <f>MEMÓRIA!E39</f>
        <v>10.575000000000001</v>
      </c>
      <c r="F41" s="128">
        <v>94319</v>
      </c>
      <c r="G41" s="129">
        <v>76.08</v>
      </c>
      <c r="H41" s="10">
        <f t="shared" si="1"/>
        <v>19.019698554782529</v>
      </c>
      <c r="I41" s="10">
        <v>77.981752814921663</v>
      </c>
      <c r="J41" s="10">
        <f t="shared" si="2"/>
        <v>824.65703601779671</v>
      </c>
      <c r="K41" s="131">
        <f t="shared" si="3"/>
        <v>0.18402429683835178</v>
      </c>
      <c r="M41" s="280"/>
    </row>
    <row r="42" spans="2:13" x14ac:dyDescent="0.2">
      <c r="B42" s="157" t="s">
        <v>22</v>
      </c>
      <c r="C42" s="167" t="s">
        <v>214</v>
      </c>
      <c r="D42" s="157"/>
      <c r="E42" s="159"/>
      <c r="F42" s="174"/>
      <c r="G42" s="175"/>
      <c r="H42" s="159"/>
      <c r="I42" s="160"/>
      <c r="J42" s="159">
        <f>SUM(J43:J46)</f>
        <v>7894.7320736032834</v>
      </c>
      <c r="K42" s="159">
        <f>SUM(K43:K46)</f>
        <v>1.7617293676260757</v>
      </c>
      <c r="M42" s="281"/>
    </row>
    <row r="43" spans="2:13" ht="85.5" x14ac:dyDescent="0.2">
      <c r="B43" s="7" t="s">
        <v>221</v>
      </c>
      <c r="C43" s="21" t="s">
        <v>318</v>
      </c>
      <c r="D43" s="7" t="s">
        <v>154</v>
      </c>
      <c r="E43" s="10">
        <f>MEMÓRIA!E41</f>
        <v>53.447700000000005</v>
      </c>
      <c r="F43" s="128">
        <v>103328</v>
      </c>
      <c r="G43" s="129">
        <v>83.31</v>
      </c>
      <c r="H43" s="10">
        <f t="shared" si="1"/>
        <v>20.827169907977559</v>
      </c>
      <c r="I43" s="10">
        <v>85.392479324541597</v>
      </c>
      <c r="J43" s="10">
        <f t="shared" si="2"/>
        <v>4564.0316171943023</v>
      </c>
      <c r="K43" s="131">
        <f>J43/$J$332*100</f>
        <v>1.0184751629088888</v>
      </c>
      <c r="M43" s="280"/>
    </row>
    <row r="44" spans="2:13" ht="71.25" x14ac:dyDescent="0.2">
      <c r="B44" s="7" t="s">
        <v>222</v>
      </c>
      <c r="C44" s="21" t="s">
        <v>319</v>
      </c>
      <c r="D44" s="7" t="s">
        <v>191</v>
      </c>
      <c r="E44" s="10">
        <f>MEMÓRIA!E42</f>
        <v>0.34160000000000001</v>
      </c>
      <c r="F44" s="86" t="s">
        <v>210</v>
      </c>
      <c r="G44" s="129">
        <v>2461.61</v>
      </c>
      <c r="H44" s="10">
        <f t="shared" si="1"/>
        <v>615.39274657516069</v>
      </c>
      <c r="I44" s="10">
        <v>2523.142252191632</v>
      </c>
      <c r="J44" s="10">
        <f t="shared" si="2"/>
        <v>861.90539334866151</v>
      </c>
      <c r="K44" s="131">
        <f>J44/$J$332*100</f>
        <v>0.19233636169296867</v>
      </c>
      <c r="M44" s="280"/>
    </row>
    <row r="45" spans="2:13" ht="57" x14ac:dyDescent="0.2">
      <c r="B45" s="7" t="s">
        <v>223</v>
      </c>
      <c r="C45" s="13" t="s">
        <v>940</v>
      </c>
      <c r="D45" s="7" t="s">
        <v>333</v>
      </c>
      <c r="E45" s="10">
        <f>MEMÓRIA!E43</f>
        <v>13.600000000000001</v>
      </c>
      <c r="F45" s="86" t="s">
        <v>197</v>
      </c>
      <c r="G45" s="10">
        <f>composições!H36</f>
        <v>90.976440000000011</v>
      </c>
      <c r="H45" s="10">
        <f t="shared" si="1"/>
        <v>22.743749531904044</v>
      </c>
      <c r="I45" s="10">
        <v>93.250555416161319</v>
      </c>
      <c r="J45" s="10">
        <f t="shared" si="2"/>
        <v>1268.207553659794</v>
      </c>
      <c r="K45" s="131">
        <f>J45/$J$332*100</f>
        <v>0.28300371319731676</v>
      </c>
      <c r="M45" s="280"/>
    </row>
    <row r="46" spans="2:13" ht="71.25" x14ac:dyDescent="0.2">
      <c r="B46" s="7" t="s">
        <v>220</v>
      </c>
      <c r="C46" s="21" t="s">
        <v>320</v>
      </c>
      <c r="D46" s="7" t="s">
        <v>154</v>
      </c>
      <c r="E46" s="10">
        <f>MEMÓRIA!E44</f>
        <v>10.395000000000001</v>
      </c>
      <c r="F46" s="7">
        <v>101952</v>
      </c>
      <c r="G46" s="10">
        <v>112.68</v>
      </c>
      <c r="H46" s="10">
        <f t="shared" si="1"/>
        <v>28.169553537761509</v>
      </c>
      <c r="I46" s="10">
        <v>115.49663390096445</v>
      </c>
      <c r="J46" s="10">
        <f t="shared" si="2"/>
        <v>1200.5875094005257</v>
      </c>
      <c r="K46" s="131">
        <f>J46/$J$332*100</f>
        <v>0.26791412982690155</v>
      </c>
      <c r="M46" s="280"/>
    </row>
    <row r="47" spans="2:13" x14ac:dyDescent="0.2">
      <c r="B47" s="157" t="s">
        <v>180</v>
      </c>
      <c r="C47" s="167" t="s">
        <v>20</v>
      </c>
      <c r="D47" s="157"/>
      <c r="E47" s="159"/>
      <c r="F47" s="174"/>
      <c r="G47" s="159"/>
      <c r="H47" s="159"/>
      <c r="I47" s="160"/>
      <c r="J47" s="159">
        <f>SUM(J48:J54)</f>
        <v>1935.7183566967337</v>
      </c>
      <c r="K47" s="159">
        <f>SUM(K48:K54)</f>
        <v>0.43196043192496181</v>
      </c>
      <c r="M47" s="281"/>
    </row>
    <row r="48" spans="2:13" ht="85.5" x14ac:dyDescent="0.2">
      <c r="B48" s="7" t="s">
        <v>224</v>
      </c>
      <c r="C48" s="8" t="s">
        <v>321</v>
      </c>
      <c r="D48" s="7" t="s">
        <v>154</v>
      </c>
      <c r="E48" s="10">
        <f>MEMÓRIA!E46</f>
        <v>9.0524999999999984</v>
      </c>
      <c r="F48" s="7" t="s">
        <v>231</v>
      </c>
      <c r="G48" s="10">
        <v>20.05</v>
      </c>
      <c r="H48" s="10">
        <f t="shared" si="1"/>
        <v>5.012420557615533</v>
      </c>
      <c r="I48" s="10">
        <v>20.551184857244735</v>
      </c>
      <c r="J48" s="10">
        <f t="shared" si="2"/>
        <v>186.03960092020793</v>
      </c>
      <c r="K48" s="131">
        <f t="shared" ref="K48:K54" si="4">J48/$J$332*100</f>
        <v>4.1515206016734953E-2</v>
      </c>
      <c r="M48" s="280"/>
    </row>
    <row r="49" spans="2:13" ht="99.75" x14ac:dyDescent="0.2">
      <c r="B49" s="7" t="s">
        <v>225</v>
      </c>
      <c r="C49" s="8" t="s">
        <v>322</v>
      </c>
      <c r="D49" s="7" t="s">
        <v>154</v>
      </c>
      <c r="E49" s="10">
        <f>MEMÓRIA!E47</f>
        <v>9.0524999999999984</v>
      </c>
      <c r="F49" s="128" t="s">
        <v>233</v>
      </c>
      <c r="G49" s="129">
        <v>59.71</v>
      </c>
      <c r="H49" s="10">
        <f t="shared" si="1"/>
        <v>14.927263416220621</v>
      </c>
      <c r="I49" s="10">
        <v>61.202556001300906</v>
      </c>
      <c r="J49" s="10">
        <f t="shared" si="2"/>
        <v>554.03613820177634</v>
      </c>
      <c r="K49" s="131">
        <f t="shared" si="4"/>
        <v>0.12363456116006204</v>
      </c>
      <c r="M49" s="280"/>
    </row>
    <row r="50" spans="2:13" ht="42.75" x14ac:dyDescent="0.2">
      <c r="B50" s="7" t="s">
        <v>226</v>
      </c>
      <c r="C50" s="8" t="s">
        <v>892</v>
      </c>
      <c r="D50" s="7" t="s">
        <v>154</v>
      </c>
      <c r="E50" s="10">
        <f>MEMÓRIA!E48</f>
        <v>8.4600000000000009</v>
      </c>
      <c r="F50" s="128">
        <v>96113</v>
      </c>
      <c r="G50" s="129">
        <v>41.56</v>
      </c>
      <c r="H50" s="10">
        <f t="shared" si="1"/>
        <v>10.38983533039908</v>
      </c>
      <c r="I50" s="10">
        <v>42.598864970927252</v>
      </c>
      <c r="J50" s="10">
        <f t="shared" si="2"/>
        <v>360.38639765404457</v>
      </c>
      <c r="K50" s="131">
        <f t="shared" si="4"/>
        <v>8.0421133297601491E-2</v>
      </c>
      <c r="M50" s="280"/>
    </row>
    <row r="51" spans="2:13" ht="57" x14ac:dyDescent="0.2">
      <c r="B51" s="7" t="s">
        <v>227</v>
      </c>
      <c r="C51" s="8" t="s">
        <v>323</v>
      </c>
      <c r="D51" s="7" t="s">
        <v>333</v>
      </c>
      <c r="E51" s="10">
        <f>MEMÓRIA!E49</f>
        <v>8.65</v>
      </c>
      <c r="F51" s="128" t="s">
        <v>236</v>
      </c>
      <c r="G51" s="129">
        <v>45.15</v>
      </c>
      <c r="H51" s="10">
        <f t="shared" si="1"/>
        <v>11.287321106051934</v>
      </c>
      <c r="I51" s="10">
        <v>46.278603306962587</v>
      </c>
      <c r="J51" s="10">
        <f t="shared" si="2"/>
        <v>400.30991860522641</v>
      </c>
      <c r="K51" s="131">
        <f t="shared" si="4"/>
        <v>8.9330167659122287E-2</v>
      </c>
      <c r="M51" s="280"/>
    </row>
    <row r="52" spans="2:13" ht="71.25" x14ac:dyDescent="0.2">
      <c r="B52" s="7" t="s">
        <v>228</v>
      </c>
      <c r="C52" s="8" t="s">
        <v>324</v>
      </c>
      <c r="D52" s="7" t="s">
        <v>333</v>
      </c>
      <c r="E52" s="10">
        <f>MEMÓRIA!E50</f>
        <v>3.55</v>
      </c>
      <c r="F52" s="128" t="s">
        <v>238</v>
      </c>
      <c r="G52" s="129">
        <v>71.97</v>
      </c>
      <c r="H52" s="10">
        <f t="shared" si="1"/>
        <v>17.992214839480791</v>
      </c>
      <c r="I52" s="10">
        <v>73.76901616837425</v>
      </c>
      <c r="J52" s="10">
        <f t="shared" si="2"/>
        <v>261.88000739772855</v>
      </c>
      <c r="K52" s="131">
        <f t="shared" si="4"/>
        <v>5.8439183942583045E-2</v>
      </c>
      <c r="M52" s="280"/>
    </row>
    <row r="53" spans="2:13" ht="71.25" x14ac:dyDescent="0.2">
      <c r="B53" s="7" t="s">
        <v>229</v>
      </c>
      <c r="C53" s="8" t="s">
        <v>325</v>
      </c>
      <c r="D53" s="7" t="s">
        <v>333</v>
      </c>
      <c r="E53" s="10">
        <f>MEMÓRIA!E51</f>
        <v>4.2300000000000004</v>
      </c>
      <c r="F53" s="128" t="s">
        <v>240</v>
      </c>
      <c r="G53" s="129">
        <v>33.590000000000003</v>
      </c>
      <c r="H53" s="10">
        <f t="shared" si="1"/>
        <v>8.3973669092421819</v>
      </c>
      <c r="I53" s="10">
        <v>34.429640865578591</v>
      </c>
      <c r="J53" s="10">
        <f t="shared" si="2"/>
        <v>145.63738086139745</v>
      </c>
      <c r="K53" s="131">
        <f t="shared" si="4"/>
        <v>3.2499348742377691E-2</v>
      </c>
      <c r="M53" s="280"/>
    </row>
    <row r="54" spans="2:13" ht="71.25" x14ac:dyDescent="0.2">
      <c r="B54" s="7" t="s">
        <v>230</v>
      </c>
      <c r="C54" s="8" t="s">
        <v>326</v>
      </c>
      <c r="D54" s="7" t="s">
        <v>41</v>
      </c>
      <c r="E54" s="10">
        <f>MEMÓRIA!E52</f>
        <v>1</v>
      </c>
      <c r="F54" s="128" t="s">
        <v>241</v>
      </c>
      <c r="G54" s="129">
        <v>26.76</v>
      </c>
      <c r="H54" s="10">
        <f t="shared" si="1"/>
        <v>6.6898939711616787</v>
      </c>
      <c r="I54" s="10">
        <v>27.428913056352577</v>
      </c>
      <c r="J54" s="10">
        <f t="shared" si="2"/>
        <v>27.428913056352577</v>
      </c>
      <c r="K54" s="131">
        <f t="shared" si="4"/>
        <v>6.1208311064802935E-3</v>
      </c>
      <c r="M54" s="280"/>
    </row>
    <row r="55" spans="2:13" x14ac:dyDescent="0.2">
      <c r="B55" s="172" t="s">
        <v>181</v>
      </c>
      <c r="C55" s="167" t="s">
        <v>23</v>
      </c>
      <c r="D55" s="157"/>
      <c r="E55" s="159"/>
      <c r="F55" s="157"/>
      <c r="G55" s="159"/>
      <c r="H55" s="159"/>
      <c r="I55" s="160"/>
      <c r="J55" s="159">
        <f>SUM(J56:J59)</f>
        <v>3225.7451350943643</v>
      </c>
      <c r="K55" s="159">
        <f>SUM(K56:K59)</f>
        <v>0.71983316013648091</v>
      </c>
      <c r="M55" s="281"/>
    </row>
    <row r="56" spans="2:13" ht="114" x14ac:dyDescent="0.2">
      <c r="B56" s="20" t="s">
        <v>244</v>
      </c>
      <c r="C56" s="13" t="s">
        <v>327</v>
      </c>
      <c r="D56" s="7" t="s">
        <v>41</v>
      </c>
      <c r="E56" s="10">
        <f>MEMÓRIA!E54</f>
        <v>2</v>
      </c>
      <c r="F56" s="130" t="s">
        <v>242</v>
      </c>
      <c r="G56" s="10">
        <v>897.93</v>
      </c>
      <c r="H56" s="10">
        <f t="shared" si="1"/>
        <v>224.4789422094621</v>
      </c>
      <c r="I56" s="10">
        <v>920.37533261175895</v>
      </c>
      <c r="J56" s="10">
        <f t="shared" si="2"/>
        <v>1840.7506652235179</v>
      </c>
      <c r="K56" s="131">
        <f>J56/$J$332*100</f>
        <v>0.41076815212569873</v>
      </c>
      <c r="M56" s="280"/>
    </row>
    <row r="57" spans="2:13" ht="42.75" x14ac:dyDescent="0.2">
      <c r="B57" s="20" t="s">
        <v>245</v>
      </c>
      <c r="C57" s="21" t="s">
        <v>435</v>
      </c>
      <c r="D57" s="7" t="s">
        <v>41</v>
      </c>
      <c r="E57" s="10">
        <f>MEMÓRIA!E55</f>
        <v>4</v>
      </c>
      <c r="F57" s="128" t="s">
        <v>434</v>
      </c>
      <c r="G57" s="129">
        <v>292.72000000000003</v>
      </c>
      <c r="H57" s="10">
        <f t="shared" ref="H57" si="5">G57*$J$12</f>
        <v>73.178840180808919</v>
      </c>
      <c r="I57" s="10">
        <v>300.03704894826336</v>
      </c>
      <c r="J57" s="10">
        <f t="shared" ref="J57" si="6">E57*I57</f>
        <v>1200.1481957930534</v>
      </c>
      <c r="K57" s="131">
        <f>J57/$J$332*100</f>
        <v>0.2678160958877297</v>
      </c>
      <c r="M57" s="280"/>
    </row>
    <row r="58" spans="2:13" ht="99.75" x14ac:dyDescent="0.2">
      <c r="B58" s="20" t="s">
        <v>246</v>
      </c>
      <c r="C58" s="21" t="s">
        <v>328</v>
      </c>
      <c r="D58" s="7" t="s">
        <v>41</v>
      </c>
      <c r="E58" s="10">
        <f>MEMÓRIA!E56</f>
        <v>2</v>
      </c>
      <c r="F58" s="7" t="s">
        <v>159</v>
      </c>
      <c r="G58" s="10">
        <v>2.95</v>
      </c>
      <c r="H58" s="10">
        <f t="shared" si="1"/>
        <v>0.73748831146961702</v>
      </c>
      <c r="I58" s="10">
        <v>3.0237404154050864</v>
      </c>
      <c r="J58" s="10">
        <f t="shared" si="2"/>
        <v>6.0474808308101728</v>
      </c>
      <c r="K58" s="131">
        <f>J58/$J$332*100</f>
        <v>1.3495105952254758E-3</v>
      </c>
      <c r="M58" s="280"/>
    </row>
    <row r="59" spans="2:13" ht="42.75" x14ac:dyDescent="0.2">
      <c r="B59" s="20" t="s">
        <v>942</v>
      </c>
      <c r="C59" s="21" t="s">
        <v>895</v>
      </c>
      <c r="D59" s="10" t="s">
        <v>154</v>
      </c>
      <c r="E59" s="10">
        <f>MEMÓRIA!E57</f>
        <v>0.64000000000000012</v>
      </c>
      <c r="F59" s="7" t="s">
        <v>894</v>
      </c>
      <c r="G59" s="10">
        <v>272.56</v>
      </c>
      <c r="H59" s="10">
        <f t="shared" si="1"/>
        <v>68.138920059036892</v>
      </c>
      <c r="I59" s="10">
        <v>279.37311444841026</v>
      </c>
      <c r="J59" s="10">
        <f t="shared" si="2"/>
        <v>178.7987932469826</v>
      </c>
      <c r="K59" s="131">
        <f>J59/$J$332*100</f>
        <v>3.9899401527827061E-2</v>
      </c>
      <c r="M59" s="280"/>
    </row>
    <row r="60" spans="2:13" x14ac:dyDescent="0.2">
      <c r="B60" s="157" t="s">
        <v>182</v>
      </c>
      <c r="C60" s="165" t="s">
        <v>28</v>
      </c>
      <c r="D60" s="157"/>
      <c r="E60" s="159"/>
      <c r="F60" s="157"/>
      <c r="G60" s="159"/>
      <c r="H60" s="159"/>
      <c r="I60" s="160"/>
      <c r="J60" s="159">
        <f>SUM(J61:J65)</f>
        <v>5992.6262846870704</v>
      </c>
      <c r="K60" s="159">
        <f>SUM(K61:K65)</f>
        <v>1.337269664950465</v>
      </c>
      <c r="M60" s="281"/>
    </row>
    <row r="61" spans="2:13" ht="85.5" x14ac:dyDescent="0.2">
      <c r="B61" s="132" t="s">
        <v>247</v>
      </c>
      <c r="C61" s="28" t="s">
        <v>329</v>
      </c>
      <c r="D61" s="7" t="s">
        <v>154</v>
      </c>
      <c r="E61" s="10">
        <f>MEMÓRIA!E59</f>
        <v>106.9</v>
      </c>
      <c r="F61" s="7">
        <v>87878</v>
      </c>
      <c r="G61" s="10">
        <v>4.5999999999999996</v>
      </c>
      <c r="H61" s="10">
        <f t="shared" si="1"/>
        <v>1.1499817738170299</v>
      </c>
      <c r="I61" s="10">
        <v>4.714985054529965</v>
      </c>
      <c r="J61" s="10">
        <f t="shared" si="2"/>
        <v>504.03190232925328</v>
      </c>
      <c r="K61" s="131">
        <f>J61/$J$332*100</f>
        <v>0.11247598984680941</v>
      </c>
      <c r="M61" s="280"/>
    </row>
    <row r="62" spans="2:13" ht="57" x14ac:dyDescent="0.2">
      <c r="B62" s="132" t="s">
        <v>248</v>
      </c>
      <c r="C62" s="28" t="s">
        <v>442</v>
      </c>
      <c r="D62" s="7" t="s">
        <v>154</v>
      </c>
      <c r="E62" s="10">
        <f>MEMÓRIA!E60</f>
        <v>8.4600000000000009</v>
      </c>
      <c r="F62" s="7" t="s">
        <v>441</v>
      </c>
      <c r="G62" s="10">
        <v>13.35</v>
      </c>
      <c r="H62" s="10">
        <f t="shared" si="1"/>
        <v>3.33744710444725</v>
      </c>
      <c r="I62" s="10">
        <v>13.683706625646746</v>
      </c>
      <c r="J62" s="10">
        <f t="shared" si="2"/>
        <v>115.76415805297148</v>
      </c>
      <c r="K62" s="131">
        <f>J62/$J$332*100</f>
        <v>2.5833063751756008E-2</v>
      </c>
      <c r="M62" s="280"/>
    </row>
    <row r="63" spans="2:13" ht="128.25" x14ac:dyDescent="0.2">
      <c r="B63" s="132" t="s">
        <v>249</v>
      </c>
      <c r="C63" s="13" t="s">
        <v>330</v>
      </c>
      <c r="D63" s="7" t="s">
        <v>154</v>
      </c>
      <c r="E63" s="10">
        <f>MEMÓRIA!E61</f>
        <v>35.64</v>
      </c>
      <c r="F63" s="7">
        <v>87549</v>
      </c>
      <c r="G63" s="10">
        <v>23.17</v>
      </c>
      <c r="H63" s="10">
        <f t="shared" si="1"/>
        <v>5.7924081955088234</v>
      </c>
      <c r="I63" s="10">
        <v>23.749174720317235</v>
      </c>
      <c r="J63" s="10">
        <f t="shared" si="2"/>
        <v>846.42058703210625</v>
      </c>
      <c r="K63" s="131">
        <f>J63/$J$332*100</f>
        <v>0.18888088812077611</v>
      </c>
      <c r="M63" s="280"/>
    </row>
    <row r="64" spans="2:13" ht="114" x14ac:dyDescent="0.2">
      <c r="B64" s="132" t="s">
        <v>250</v>
      </c>
      <c r="C64" s="8" t="s">
        <v>891</v>
      </c>
      <c r="D64" s="7" t="s">
        <v>154</v>
      </c>
      <c r="E64" s="10">
        <f>MEMÓRIA!E62</f>
        <v>35.64</v>
      </c>
      <c r="F64" s="7" t="s">
        <v>890</v>
      </c>
      <c r="G64" s="10">
        <v>75.38</v>
      </c>
      <c r="H64" s="10">
        <f t="shared" si="1"/>
        <v>18.844701328332111</v>
      </c>
      <c r="I64" s="10">
        <v>77.264255089232321</v>
      </c>
      <c r="J64" s="10">
        <f t="shared" si="2"/>
        <v>2753.69805138024</v>
      </c>
      <c r="K64" s="131">
        <f>J64/$J$332*100</f>
        <v>0.61449466320863622</v>
      </c>
      <c r="M64" s="280"/>
    </row>
    <row r="65" spans="2:13" ht="114" x14ac:dyDescent="0.2">
      <c r="B65" s="132" t="s">
        <v>445</v>
      </c>
      <c r="C65" s="8" t="s">
        <v>331</v>
      </c>
      <c r="D65" s="7" t="s">
        <v>154</v>
      </c>
      <c r="E65" s="10">
        <f>MEMÓRIA!E63</f>
        <v>71.260000000000005</v>
      </c>
      <c r="F65" s="7">
        <v>87547</v>
      </c>
      <c r="G65" s="10">
        <v>24.27</v>
      </c>
      <c r="H65" s="10">
        <f t="shared" si="1"/>
        <v>6.0674038370737646</v>
      </c>
      <c r="I65" s="10">
        <v>24.876671146400486</v>
      </c>
      <c r="J65" s="10">
        <f t="shared" si="2"/>
        <v>1772.7115858924988</v>
      </c>
      <c r="K65" s="131">
        <f>J65/$J$332*100</f>
        <v>0.39558506002248728</v>
      </c>
      <c r="M65" s="280"/>
    </row>
    <row r="66" spans="2:13" x14ac:dyDescent="0.2">
      <c r="B66" s="157" t="s">
        <v>253</v>
      </c>
      <c r="C66" s="165" t="s">
        <v>35</v>
      </c>
      <c r="D66" s="157"/>
      <c r="E66" s="159"/>
      <c r="F66" s="157"/>
      <c r="G66" s="159"/>
      <c r="H66" s="159"/>
      <c r="I66" s="10">
        <v>0</v>
      </c>
      <c r="J66" s="159">
        <f>SUM(J67:J69)</f>
        <v>1229.4500444126102</v>
      </c>
      <c r="K66" s="159">
        <f>SUM(K67:K69)</f>
        <v>0.27435487728746955</v>
      </c>
      <c r="M66" s="281"/>
    </row>
    <row r="67" spans="2:13" ht="42.75" x14ac:dyDescent="0.2">
      <c r="B67" s="7" t="s">
        <v>254</v>
      </c>
      <c r="C67" s="13" t="s">
        <v>313</v>
      </c>
      <c r="D67" s="7" t="s">
        <v>191</v>
      </c>
      <c r="E67" s="10">
        <f>MEMÓRIA!E65</f>
        <v>0.42300000000000004</v>
      </c>
      <c r="F67" s="7">
        <v>96620</v>
      </c>
      <c r="G67" s="10">
        <v>713.82</v>
      </c>
      <c r="H67" s="10">
        <f t="shared" si="1"/>
        <v>178.45217169262443</v>
      </c>
      <c r="I67" s="10">
        <v>731.66318078795211</v>
      </c>
      <c r="J67" s="10">
        <f t="shared" si="2"/>
        <v>309.49352547330375</v>
      </c>
      <c r="K67" s="131">
        <f>J67/$J$332*100</f>
        <v>6.9064260551604778E-2</v>
      </c>
      <c r="M67" s="280"/>
    </row>
    <row r="68" spans="2:13" ht="99.75" x14ac:dyDescent="0.2">
      <c r="B68" s="7" t="s">
        <v>255</v>
      </c>
      <c r="C68" s="13" t="s">
        <v>332</v>
      </c>
      <c r="D68" s="7" t="s">
        <v>154</v>
      </c>
      <c r="E68" s="10">
        <f>MEMÓRIA!E66</f>
        <v>8.4600000000000009</v>
      </c>
      <c r="F68" s="14" t="s">
        <v>103</v>
      </c>
      <c r="G68" s="10">
        <v>30.71</v>
      </c>
      <c r="H68" s="10">
        <f t="shared" si="1"/>
        <v>7.6773783204176063</v>
      </c>
      <c r="I68" s="10">
        <v>31.47765022274244</v>
      </c>
      <c r="J68" s="10">
        <f t="shared" si="2"/>
        <v>266.30092088440108</v>
      </c>
      <c r="K68" s="131">
        <f>J68/$J$332*100</f>
        <v>5.9425721933814762E-2</v>
      </c>
      <c r="M68" s="280"/>
    </row>
    <row r="69" spans="2:13" ht="114" x14ac:dyDescent="0.2">
      <c r="B69" s="7" t="s">
        <v>256</v>
      </c>
      <c r="C69" s="29" t="s">
        <v>891</v>
      </c>
      <c r="D69" s="7" t="s">
        <v>154</v>
      </c>
      <c r="E69" s="10">
        <f>MEMÓRIA!E67</f>
        <v>8.4600000000000009</v>
      </c>
      <c r="F69" s="7" t="s">
        <v>890</v>
      </c>
      <c r="G69" s="10">
        <v>75.38</v>
      </c>
      <c r="H69" s="10">
        <f t="shared" si="1"/>
        <v>18.844701328332111</v>
      </c>
      <c r="I69" s="10">
        <v>77.264255089232321</v>
      </c>
      <c r="J69" s="10">
        <f t="shared" si="2"/>
        <v>653.65559805490545</v>
      </c>
      <c r="K69" s="131">
        <f>J69/$J$332*100</f>
        <v>0.14586489480205</v>
      </c>
      <c r="M69" s="280"/>
    </row>
    <row r="70" spans="2:13" x14ac:dyDescent="0.2">
      <c r="B70" s="157" t="s">
        <v>257</v>
      </c>
      <c r="C70" s="158" t="s">
        <v>388</v>
      </c>
      <c r="D70" s="157"/>
      <c r="E70" s="159"/>
      <c r="F70" s="176"/>
      <c r="G70" s="177"/>
      <c r="H70" s="159"/>
      <c r="I70" s="160"/>
      <c r="J70" s="159">
        <f>SUM(J71:J85)</f>
        <v>1238.598693913395</v>
      </c>
      <c r="K70" s="159">
        <f>SUM(K71:K85)</f>
        <v>0.27639642149053884</v>
      </c>
      <c r="M70" s="281"/>
    </row>
    <row r="71" spans="2:13" ht="57" x14ac:dyDescent="0.2">
      <c r="B71" s="7" t="s">
        <v>258</v>
      </c>
      <c r="C71" s="13" t="s">
        <v>297</v>
      </c>
      <c r="D71" s="7" t="s">
        <v>333</v>
      </c>
      <c r="E71" s="10">
        <f>MEMÓRIA!E69</f>
        <v>4.8000000000000007</v>
      </c>
      <c r="F71" s="9" t="s">
        <v>296</v>
      </c>
      <c r="G71" s="10">
        <v>5.13</v>
      </c>
      <c r="H71" s="10">
        <f t="shared" si="1"/>
        <v>1.2824796738437747</v>
      </c>
      <c r="I71" s="10">
        <v>5.2582333325518951</v>
      </c>
      <c r="J71" s="10">
        <f t="shared" si="2"/>
        <v>25.239519996249101</v>
      </c>
      <c r="K71" s="131">
        <f t="shared" ref="K71:K85" si="7">J71/$J$332*100</f>
        <v>5.6322625248867997E-3</v>
      </c>
      <c r="M71" s="280"/>
    </row>
    <row r="72" spans="2:13" ht="71.25" x14ac:dyDescent="0.2">
      <c r="B72" s="7" t="s">
        <v>259</v>
      </c>
      <c r="C72" s="13" t="s">
        <v>336</v>
      </c>
      <c r="D72" s="7" t="s">
        <v>333</v>
      </c>
      <c r="E72" s="10">
        <f>MEMÓRIA!E70</f>
        <v>4.8000000000000007</v>
      </c>
      <c r="F72" s="9" t="s">
        <v>335</v>
      </c>
      <c r="G72" s="10">
        <v>13.35</v>
      </c>
      <c r="H72" s="10">
        <f t="shared" si="1"/>
        <v>3.33744710444725</v>
      </c>
      <c r="I72" s="10">
        <v>13.683706625646746</v>
      </c>
      <c r="J72" s="10">
        <f t="shared" si="2"/>
        <v>65.681791803104389</v>
      </c>
      <c r="K72" s="131">
        <f t="shared" si="7"/>
        <v>1.4657057447804831E-2</v>
      </c>
      <c r="M72" s="280"/>
    </row>
    <row r="73" spans="2:13" ht="85.5" x14ac:dyDescent="0.2">
      <c r="B73" s="7" t="s">
        <v>260</v>
      </c>
      <c r="C73" s="13" t="s">
        <v>339</v>
      </c>
      <c r="D73" s="7" t="s">
        <v>333</v>
      </c>
      <c r="E73" s="10">
        <f>MEMÓRIA!E71</f>
        <v>4.8000000000000007</v>
      </c>
      <c r="F73" s="9" t="s">
        <v>338</v>
      </c>
      <c r="G73" s="10">
        <v>13.78</v>
      </c>
      <c r="H73" s="10">
        <f t="shared" si="1"/>
        <v>3.4449454006953633</v>
      </c>
      <c r="I73" s="10">
        <v>14.124455228570197</v>
      </c>
      <c r="J73" s="10">
        <f t="shared" si="2"/>
        <v>67.797385097136953</v>
      </c>
      <c r="K73" s="131">
        <f t="shared" si="7"/>
        <v>1.5129157425524382E-2</v>
      </c>
      <c r="M73" s="280"/>
    </row>
    <row r="74" spans="2:13" ht="71.25" x14ac:dyDescent="0.2">
      <c r="B74" s="7" t="s">
        <v>285</v>
      </c>
      <c r="C74" s="13" t="s">
        <v>341</v>
      </c>
      <c r="D74" s="7" t="s">
        <v>333</v>
      </c>
      <c r="E74" s="10">
        <f>MEMÓRIA!E72</f>
        <v>12.14</v>
      </c>
      <c r="F74" s="9" t="s">
        <v>340</v>
      </c>
      <c r="G74" s="10">
        <v>10.7</v>
      </c>
      <c r="H74" s="10">
        <f t="shared" si="1"/>
        <v>2.6749576043135259</v>
      </c>
      <c r="I74" s="10">
        <v>10.967465235537091</v>
      </c>
      <c r="J74" s="10">
        <f t="shared" si="2"/>
        <v>133.1450279594203</v>
      </c>
      <c r="K74" s="131">
        <f t="shared" si="7"/>
        <v>2.971164869467777E-2</v>
      </c>
      <c r="M74" s="280"/>
    </row>
    <row r="75" spans="2:13" ht="71.25" x14ac:dyDescent="0.2">
      <c r="B75" s="7" t="s">
        <v>286</v>
      </c>
      <c r="C75" s="13" t="s">
        <v>342</v>
      </c>
      <c r="D75" s="7" t="s">
        <v>41</v>
      </c>
      <c r="E75" s="10">
        <f>MEMÓRIA!E73</f>
        <v>8</v>
      </c>
      <c r="F75" s="7" t="s">
        <v>343</v>
      </c>
      <c r="G75" s="10">
        <v>9.67</v>
      </c>
      <c r="H75" s="10">
        <f t="shared" si="1"/>
        <v>2.4174616853936262</v>
      </c>
      <c r="I75" s="10">
        <v>9.9117185820227736</v>
      </c>
      <c r="J75" s="10">
        <f t="shared" si="2"/>
        <v>79.293748656182188</v>
      </c>
      <c r="K75" s="131">
        <f t="shared" si="7"/>
        <v>1.7694599940108951E-2</v>
      </c>
      <c r="M75" s="280"/>
    </row>
    <row r="76" spans="2:13" ht="71.25" x14ac:dyDescent="0.2">
      <c r="B76" s="7" t="s">
        <v>287</v>
      </c>
      <c r="C76" s="13" t="s">
        <v>345</v>
      </c>
      <c r="D76" s="7" t="s">
        <v>41</v>
      </c>
      <c r="E76" s="10">
        <f>MEMÓRIA!E74</f>
        <v>9</v>
      </c>
      <c r="F76" s="7" t="s">
        <v>346</v>
      </c>
      <c r="G76" s="10">
        <v>6.92</v>
      </c>
      <c r="H76" s="10">
        <f t="shared" si="1"/>
        <v>1.7299725814812712</v>
      </c>
      <c r="I76" s="10">
        <v>7.0929775168146429</v>
      </c>
      <c r="J76" s="10">
        <f t="shared" si="2"/>
        <v>63.836797651331786</v>
      </c>
      <c r="K76" s="131">
        <f t="shared" si="7"/>
        <v>1.4245342350956378E-2</v>
      </c>
      <c r="M76" s="280"/>
    </row>
    <row r="77" spans="2:13" ht="71.25" x14ac:dyDescent="0.2">
      <c r="B77" s="7" t="s">
        <v>288</v>
      </c>
      <c r="C77" s="13" t="s">
        <v>349</v>
      </c>
      <c r="D77" s="7" t="s">
        <v>41</v>
      </c>
      <c r="E77" s="10">
        <f>MEMÓRIA!E75</f>
        <v>2</v>
      </c>
      <c r="F77" s="7" t="s">
        <v>347</v>
      </c>
      <c r="G77" s="10">
        <v>15.05</v>
      </c>
      <c r="H77" s="10">
        <f t="shared" si="1"/>
        <v>3.7624403686839787</v>
      </c>
      <c r="I77" s="10">
        <v>15.426201102320864</v>
      </c>
      <c r="J77" s="10">
        <f t="shared" si="2"/>
        <v>30.852402204641727</v>
      </c>
      <c r="K77" s="131">
        <f t="shared" si="7"/>
        <v>6.8847913417435288E-3</v>
      </c>
      <c r="M77" s="280"/>
    </row>
    <row r="78" spans="2:13" ht="71.25" x14ac:dyDescent="0.2">
      <c r="B78" s="7" t="s">
        <v>289</v>
      </c>
      <c r="C78" s="13" t="s">
        <v>350</v>
      </c>
      <c r="D78" s="7" t="s">
        <v>41</v>
      </c>
      <c r="E78" s="10">
        <f>MEMÓRIA!E76</f>
        <v>2</v>
      </c>
      <c r="F78" s="7" t="s">
        <v>348</v>
      </c>
      <c r="G78" s="10">
        <v>10.84</v>
      </c>
      <c r="H78" s="10">
        <f t="shared" si="1"/>
        <v>2.7099570496036098</v>
      </c>
      <c r="I78" s="10">
        <v>11.11096478067496</v>
      </c>
      <c r="J78" s="10">
        <f t="shared" si="2"/>
        <v>22.221929561349921</v>
      </c>
      <c r="K78" s="131">
        <f t="shared" si="7"/>
        <v>4.9588796109302224E-3</v>
      </c>
      <c r="M78" s="280"/>
    </row>
    <row r="79" spans="2:13" ht="85.5" x14ac:dyDescent="0.2">
      <c r="B79" s="7" t="s">
        <v>290</v>
      </c>
      <c r="C79" s="13" t="s">
        <v>359</v>
      </c>
      <c r="D79" s="7" t="s">
        <v>41</v>
      </c>
      <c r="E79" s="10">
        <f>MEMÓRIA!E77</f>
        <v>1</v>
      </c>
      <c r="F79" s="7" t="s">
        <v>358</v>
      </c>
      <c r="G79" s="10">
        <v>6.16</v>
      </c>
      <c r="H79" s="10">
        <f t="shared" ref="H79:H138" si="8">G79*$J$12</f>
        <v>1.5399755927636749</v>
      </c>
      <c r="I79" s="10">
        <v>6.3139799860662134</v>
      </c>
      <c r="J79" s="10">
        <f t="shared" ref="J79:J138" si="9">E79*I79</f>
        <v>6.3139799860662134</v>
      </c>
      <c r="K79" s="131">
        <f t="shared" si="7"/>
        <v>1.4089805536591407E-3</v>
      </c>
      <c r="M79" s="280"/>
    </row>
    <row r="80" spans="2:13" ht="85.5" x14ac:dyDescent="0.2">
      <c r="B80" s="7" t="s">
        <v>291</v>
      </c>
      <c r="C80" s="13" t="s">
        <v>361</v>
      </c>
      <c r="D80" s="7" t="s">
        <v>41</v>
      </c>
      <c r="E80" s="10">
        <f>MEMÓRIA!E78</f>
        <v>2</v>
      </c>
      <c r="F80" s="7" t="s">
        <v>360</v>
      </c>
      <c r="G80" s="10">
        <v>10.47</v>
      </c>
      <c r="H80" s="10">
        <f t="shared" si="8"/>
        <v>2.6174585156226748</v>
      </c>
      <c r="I80" s="10">
        <v>10.731715982810593</v>
      </c>
      <c r="J80" s="10">
        <f t="shared" si="9"/>
        <v>21.463431965621186</v>
      </c>
      <c r="K80" s="131">
        <f t="shared" si="7"/>
        <v>4.7896189600036372E-3</v>
      </c>
      <c r="M80" s="280"/>
    </row>
    <row r="81" spans="2:13" ht="71.25" x14ac:dyDescent="0.2">
      <c r="B81" s="7" t="s">
        <v>292</v>
      </c>
      <c r="C81" s="13" t="s">
        <v>365</v>
      </c>
      <c r="D81" s="7" t="s">
        <v>333</v>
      </c>
      <c r="E81" s="10">
        <f>MEMÓRIA!E79</f>
        <v>61.36</v>
      </c>
      <c r="F81" s="7" t="s">
        <v>364</v>
      </c>
      <c r="G81" s="10">
        <v>3.13</v>
      </c>
      <c r="H81" s="10">
        <f t="shared" si="8"/>
        <v>0.782487598271153</v>
      </c>
      <c r="I81" s="10">
        <v>3.2082398305823459</v>
      </c>
      <c r="J81" s="10">
        <f t="shared" si="9"/>
        <v>196.85759600453275</v>
      </c>
      <c r="K81" s="131">
        <f t="shared" si="7"/>
        <v>4.3929268895779687E-2</v>
      </c>
      <c r="M81" s="280"/>
    </row>
    <row r="82" spans="2:13" ht="71.25" x14ac:dyDescent="0.2">
      <c r="B82" s="7" t="s">
        <v>293</v>
      </c>
      <c r="C82" s="13" t="s">
        <v>352</v>
      </c>
      <c r="D82" s="7" t="s">
        <v>41</v>
      </c>
      <c r="E82" s="10">
        <f>MEMÓRIA!E80</f>
        <v>1</v>
      </c>
      <c r="F82" s="7" t="s">
        <v>351</v>
      </c>
      <c r="G82" s="10">
        <v>45.74</v>
      </c>
      <c r="H82" s="10">
        <f t="shared" si="8"/>
        <v>11.43481876834586</v>
      </c>
      <c r="I82" s="10">
        <v>46.8833513900436</v>
      </c>
      <c r="J82" s="10">
        <f t="shared" si="9"/>
        <v>46.8833513900436</v>
      </c>
      <c r="K82" s="131">
        <f t="shared" si="7"/>
        <v>1.0462138072137838E-2</v>
      </c>
      <c r="M82" s="280"/>
    </row>
    <row r="83" spans="2:13" ht="57" x14ac:dyDescent="0.2">
      <c r="B83" s="7" t="s">
        <v>294</v>
      </c>
      <c r="C83" s="13" t="s">
        <v>354</v>
      </c>
      <c r="D83" s="7" t="s">
        <v>41</v>
      </c>
      <c r="E83" s="10">
        <f>MEMÓRIA!E81</f>
        <v>2</v>
      </c>
      <c r="F83" s="7" t="s">
        <v>353</v>
      </c>
      <c r="G83" s="10">
        <v>60.92</v>
      </c>
      <c r="H83" s="10">
        <f t="shared" si="8"/>
        <v>15.229758621942057</v>
      </c>
      <c r="I83" s="10">
        <v>62.442802069992489</v>
      </c>
      <c r="J83" s="10">
        <f t="shared" si="9"/>
        <v>124.88560413998498</v>
      </c>
      <c r="K83" s="131">
        <f t="shared" si="7"/>
        <v>2.7868537444452876E-2</v>
      </c>
      <c r="M83" s="280"/>
    </row>
    <row r="84" spans="2:13" ht="42.75" x14ac:dyDescent="0.2">
      <c r="B84" s="7" t="s">
        <v>295</v>
      </c>
      <c r="C84" s="13" t="s">
        <v>355</v>
      </c>
      <c r="D84" s="7" t="s">
        <v>41</v>
      </c>
      <c r="E84" s="10">
        <f>MEMÓRIA!E82</f>
        <v>4</v>
      </c>
      <c r="F84" s="9" t="s">
        <v>356</v>
      </c>
      <c r="G84" s="10">
        <v>78.81</v>
      </c>
      <c r="H84" s="10">
        <f t="shared" si="8"/>
        <v>19.702187737939159</v>
      </c>
      <c r="I84" s="10">
        <v>80.779993945110107</v>
      </c>
      <c r="J84" s="10">
        <f t="shared" si="9"/>
        <v>323.11997578044043</v>
      </c>
      <c r="K84" s="131">
        <f t="shared" si="7"/>
        <v>7.2105037294725241E-2</v>
      </c>
      <c r="M84" s="280"/>
    </row>
    <row r="85" spans="2:13" ht="57" x14ac:dyDescent="0.2">
      <c r="B85" s="7" t="s">
        <v>357</v>
      </c>
      <c r="C85" s="13" t="s">
        <v>363</v>
      </c>
      <c r="D85" s="7" t="s">
        <v>41</v>
      </c>
      <c r="E85" s="10">
        <f>MEMÓRIA!E83</f>
        <v>1</v>
      </c>
      <c r="F85" s="128" t="s">
        <v>362</v>
      </c>
      <c r="G85" s="10">
        <v>30.25</v>
      </c>
      <c r="H85" s="10">
        <f t="shared" si="8"/>
        <v>7.5623801430359032</v>
      </c>
      <c r="I85" s="10">
        <v>31.006151717289441</v>
      </c>
      <c r="J85" s="10">
        <f t="shared" si="9"/>
        <v>31.006151717289441</v>
      </c>
      <c r="K85" s="131">
        <f t="shared" si="7"/>
        <v>6.9191009331475654E-3</v>
      </c>
      <c r="M85" s="280"/>
    </row>
    <row r="86" spans="2:13" x14ac:dyDescent="0.2">
      <c r="B86" s="157" t="s">
        <v>261</v>
      </c>
      <c r="C86" s="158" t="s">
        <v>389</v>
      </c>
      <c r="D86" s="157"/>
      <c r="E86" s="159"/>
      <c r="F86" s="174"/>
      <c r="G86" s="159"/>
      <c r="H86" s="159"/>
      <c r="I86" s="160"/>
      <c r="J86" s="159">
        <f>SUM(J87:J92)</f>
        <v>293.08101099738025</v>
      </c>
      <c r="K86" s="159">
        <f>SUM(K87:K92)</f>
        <v>6.5401766564570016E-2</v>
      </c>
      <c r="M86" s="281"/>
    </row>
    <row r="87" spans="2:13" ht="71.25" x14ac:dyDescent="0.2">
      <c r="B87" s="7" t="s">
        <v>262</v>
      </c>
      <c r="C87" s="32" t="s">
        <v>368</v>
      </c>
      <c r="D87" s="7" t="s">
        <v>41</v>
      </c>
      <c r="E87" s="10">
        <f>MEMÓRIA!E85</f>
        <v>4</v>
      </c>
      <c r="F87" s="128" t="s">
        <v>367</v>
      </c>
      <c r="G87" s="10">
        <v>8.2200000000000006</v>
      </c>
      <c r="H87" s="10">
        <f t="shared" si="8"/>
        <v>2.0549674306034755</v>
      </c>
      <c r="I87" s="10">
        <v>8.4254732930948499</v>
      </c>
      <c r="J87" s="10">
        <f t="shared" si="9"/>
        <v>33.7018931723794</v>
      </c>
      <c r="K87" s="131">
        <f t="shared" ref="K87:K92" si="10">J87/$J$332*100</f>
        <v>7.5206624357650239E-3</v>
      </c>
      <c r="M87" s="280"/>
    </row>
    <row r="88" spans="2:13" ht="42.75" x14ac:dyDescent="0.2">
      <c r="B88" s="7" t="s">
        <v>263</v>
      </c>
      <c r="C88" s="32" t="s">
        <v>369</v>
      </c>
      <c r="D88" s="7" t="s">
        <v>41</v>
      </c>
      <c r="E88" s="10">
        <f>MEMÓRIA!E86</f>
        <v>4</v>
      </c>
      <c r="F88" s="130" t="s">
        <v>385</v>
      </c>
      <c r="G88" s="10">
        <v>17.690000000000001</v>
      </c>
      <c r="H88" s="10">
        <f t="shared" si="8"/>
        <v>4.4224299084398391</v>
      </c>
      <c r="I88" s="10">
        <v>18.132192524920669</v>
      </c>
      <c r="J88" s="10">
        <f t="shared" si="9"/>
        <v>72.528770099682674</v>
      </c>
      <c r="K88" s="131">
        <f t="shared" si="10"/>
        <v>1.6184977918331296E-2</v>
      </c>
      <c r="M88" s="280"/>
    </row>
    <row r="89" spans="2:13" ht="57" x14ac:dyDescent="0.2">
      <c r="B89" s="7" t="s">
        <v>264</v>
      </c>
      <c r="C89" s="32" t="s">
        <v>371</v>
      </c>
      <c r="D89" s="7" t="s">
        <v>41</v>
      </c>
      <c r="E89" s="10">
        <f>MEMÓRIA!E87</f>
        <v>2</v>
      </c>
      <c r="F89" s="130" t="s">
        <v>370</v>
      </c>
      <c r="G89" s="10">
        <v>18.38</v>
      </c>
      <c r="H89" s="10">
        <f t="shared" si="8"/>
        <v>4.5949271745123932</v>
      </c>
      <c r="I89" s="10">
        <v>18.83944028310016</v>
      </c>
      <c r="J89" s="10">
        <f t="shared" si="9"/>
        <v>37.67888056620032</v>
      </c>
      <c r="K89" s="131">
        <f t="shared" si="10"/>
        <v>8.4081372000827919E-3</v>
      </c>
      <c r="M89" s="280"/>
    </row>
    <row r="90" spans="2:13" ht="57" x14ac:dyDescent="0.2">
      <c r="B90" s="7" t="s">
        <v>265</v>
      </c>
      <c r="C90" s="32" t="s">
        <v>373</v>
      </c>
      <c r="D90" s="7" t="s">
        <v>41</v>
      </c>
      <c r="E90" s="10">
        <f>MEMÓRIA!E88</f>
        <v>2</v>
      </c>
      <c r="F90" s="130" t="s">
        <v>372</v>
      </c>
      <c r="G90" s="10">
        <v>6.51</v>
      </c>
      <c r="H90" s="10">
        <f t="shared" si="8"/>
        <v>1.6274742059888836</v>
      </c>
      <c r="I90" s="10">
        <v>6.6727288489108849</v>
      </c>
      <c r="J90" s="10">
        <f t="shared" si="9"/>
        <v>13.34545769782177</v>
      </c>
      <c r="K90" s="131">
        <f t="shared" si="10"/>
        <v>2.9780725338704565E-3</v>
      </c>
      <c r="M90" s="280"/>
    </row>
    <row r="91" spans="2:13" ht="71.25" x14ac:dyDescent="0.2">
      <c r="B91" s="7" t="s">
        <v>266</v>
      </c>
      <c r="C91" s="13" t="s">
        <v>374</v>
      </c>
      <c r="D91" s="7" t="s">
        <v>41</v>
      </c>
      <c r="E91" s="10">
        <f>MEMÓRIA!E89</f>
        <v>4</v>
      </c>
      <c r="F91" s="130">
        <v>90374</v>
      </c>
      <c r="G91" s="10">
        <v>20.28</v>
      </c>
      <c r="H91" s="10">
        <f t="shared" si="8"/>
        <v>5.069919646306384</v>
      </c>
      <c r="I91" s="10">
        <v>20.786934109971238</v>
      </c>
      <c r="J91" s="10">
        <f t="shared" si="9"/>
        <v>83.147736439884952</v>
      </c>
      <c r="K91" s="131">
        <f t="shared" si="10"/>
        <v>1.8554627031303488E-2</v>
      </c>
      <c r="M91" s="280"/>
    </row>
    <row r="92" spans="2:13" ht="57" x14ac:dyDescent="0.2">
      <c r="B92" s="7" t="s">
        <v>267</v>
      </c>
      <c r="C92" s="32" t="s">
        <v>375</v>
      </c>
      <c r="D92" s="7" t="s">
        <v>333</v>
      </c>
      <c r="E92" s="10">
        <f>MEMÓRIA!E90</f>
        <v>9.9600000000000009</v>
      </c>
      <c r="F92" s="130">
        <v>89446</v>
      </c>
      <c r="G92" s="10">
        <v>5.16</v>
      </c>
      <c r="H92" s="10">
        <f t="shared" si="8"/>
        <v>1.2899795549773641</v>
      </c>
      <c r="I92" s="10">
        <v>5.2889832350814387</v>
      </c>
      <c r="J92" s="10">
        <f t="shared" si="9"/>
        <v>52.678273021411137</v>
      </c>
      <c r="K92" s="131">
        <f t="shared" si="10"/>
        <v>1.1755289445216952E-2</v>
      </c>
      <c r="M92" s="280"/>
    </row>
    <row r="93" spans="2:13" x14ac:dyDescent="0.2">
      <c r="B93" s="157" t="s">
        <v>268</v>
      </c>
      <c r="C93" s="170" t="s">
        <v>390</v>
      </c>
      <c r="D93" s="157"/>
      <c r="E93" s="159"/>
      <c r="F93" s="174"/>
      <c r="G93" s="175"/>
      <c r="H93" s="159"/>
      <c r="I93" s="160"/>
      <c r="J93" s="159">
        <f>SUM(J94:J105)</f>
        <v>3084.4712679015838</v>
      </c>
      <c r="K93" s="159">
        <f>SUM(K94:K105)</f>
        <v>0.68830754047121079</v>
      </c>
      <c r="M93" s="281"/>
    </row>
    <row r="94" spans="2:13" ht="71.25" x14ac:dyDescent="0.2">
      <c r="B94" s="7" t="s">
        <v>269</v>
      </c>
      <c r="C94" s="32" t="s">
        <v>396</v>
      </c>
      <c r="D94" s="7" t="s">
        <v>333</v>
      </c>
      <c r="E94" s="10">
        <f>MEMÓRIA!E92</f>
        <v>2.36</v>
      </c>
      <c r="F94" s="128">
        <v>89711</v>
      </c>
      <c r="G94" s="129">
        <v>19.489999999999998</v>
      </c>
      <c r="H94" s="10">
        <f t="shared" si="8"/>
        <v>4.8724227764551982</v>
      </c>
      <c r="I94" s="10">
        <v>19.977186676693261</v>
      </c>
      <c r="J94" s="10">
        <f t="shared" si="9"/>
        <v>47.146160556996094</v>
      </c>
      <c r="K94" s="131">
        <f t="shared" ref="K94:K105" si="11">J94/$J$332*100</f>
        <v>1.0520784600377807E-2</v>
      </c>
      <c r="M94" s="280"/>
    </row>
    <row r="95" spans="2:13" ht="71.25" x14ac:dyDescent="0.2">
      <c r="B95" s="7" t="s">
        <v>270</v>
      </c>
      <c r="C95" s="32" t="s">
        <v>395</v>
      </c>
      <c r="D95" s="7" t="s">
        <v>333</v>
      </c>
      <c r="E95" s="10">
        <f>MEMÓRIA!E93</f>
        <v>3</v>
      </c>
      <c r="F95" s="7">
        <v>89712</v>
      </c>
      <c r="G95" s="10">
        <v>24.95</v>
      </c>
      <c r="H95" s="10">
        <f t="shared" si="8"/>
        <v>6.2374011427684559</v>
      </c>
      <c r="I95" s="10">
        <v>25.573668937070131</v>
      </c>
      <c r="J95" s="10">
        <f t="shared" si="9"/>
        <v>76.721006811210401</v>
      </c>
      <c r="K95" s="131">
        <f t="shared" si="11"/>
        <v>1.7120486110614723E-2</v>
      </c>
      <c r="M95" s="280"/>
    </row>
    <row r="96" spans="2:13" ht="71.25" x14ac:dyDescent="0.2">
      <c r="B96" s="7" t="s">
        <v>271</v>
      </c>
      <c r="C96" s="32" t="s">
        <v>400</v>
      </c>
      <c r="D96" s="7" t="s">
        <v>333</v>
      </c>
      <c r="E96" s="10">
        <f>MEMÓRIA!E94</f>
        <v>13.91</v>
      </c>
      <c r="F96" s="7">
        <v>89714</v>
      </c>
      <c r="G96" s="10">
        <v>34.74</v>
      </c>
      <c r="H96" s="10">
        <f t="shared" si="8"/>
        <v>8.6848623526964399</v>
      </c>
      <c r="I96" s="10">
        <v>35.608387129211081</v>
      </c>
      <c r="J96" s="10">
        <f t="shared" si="9"/>
        <v>495.31266496732616</v>
      </c>
      <c r="K96" s="131">
        <f t="shared" si="11"/>
        <v>0.11053027004522549</v>
      </c>
      <c r="M96" s="280"/>
    </row>
    <row r="97" spans="2:13" ht="57" x14ac:dyDescent="0.2">
      <c r="B97" s="7" t="s">
        <v>272</v>
      </c>
      <c r="C97" s="32" t="s">
        <v>380</v>
      </c>
      <c r="D97" s="7" t="s">
        <v>41</v>
      </c>
      <c r="E97" s="10">
        <f>MEMÓRIA!E95</f>
        <v>2</v>
      </c>
      <c r="F97" s="7" t="s">
        <v>384</v>
      </c>
      <c r="G97" s="10">
        <v>35.700000000000003</v>
      </c>
      <c r="H97" s="10">
        <f t="shared" si="8"/>
        <v>8.924858548971299</v>
      </c>
      <c r="I97" s="10">
        <v>36.592384010156465</v>
      </c>
      <c r="J97" s="10">
        <f t="shared" si="9"/>
        <v>73.18476802031293</v>
      </c>
      <c r="K97" s="131">
        <f t="shared" si="11"/>
        <v>1.6331365508321857E-2</v>
      </c>
      <c r="M97" s="280"/>
    </row>
    <row r="98" spans="2:13" ht="85.5" x14ac:dyDescent="0.2">
      <c r="B98" s="7" t="s">
        <v>273</v>
      </c>
      <c r="C98" s="32" t="s">
        <v>386</v>
      </c>
      <c r="D98" s="7" t="s">
        <v>41</v>
      </c>
      <c r="E98" s="10">
        <f>MEMÓRIA!E96</f>
        <v>1</v>
      </c>
      <c r="F98" s="7">
        <v>89726</v>
      </c>
      <c r="G98" s="10">
        <v>9.15</v>
      </c>
      <c r="H98" s="10">
        <f t="shared" si="8"/>
        <v>2.2874637457447444</v>
      </c>
      <c r="I98" s="10">
        <v>9.3787202715106908</v>
      </c>
      <c r="J98" s="10">
        <f t="shared" si="9"/>
        <v>9.3787202715106908</v>
      </c>
      <c r="K98" s="131">
        <f t="shared" si="11"/>
        <v>2.0928850756462883E-3</v>
      </c>
      <c r="M98" s="280"/>
    </row>
    <row r="99" spans="2:13" ht="57" x14ac:dyDescent="0.2">
      <c r="B99" s="7" t="s">
        <v>274</v>
      </c>
      <c r="C99" s="32" t="s">
        <v>383</v>
      </c>
      <c r="D99" s="7" t="s">
        <v>41</v>
      </c>
      <c r="E99" s="10">
        <f>MEMÓRIA!E97</f>
        <v>2</v>
      </c>
      <c r="F99" s="7" t="s">
        <v>382</v>
      </c>
      <c r="G99" s="10">
        <v>16.350000000000001</v>
      </c>
      <c r="H99" s="10">
        <f t="shared" si="8"/>
        <v>4.087435217806183</v>
      </c>
      <c r="I99" s="10">
        <v>16.758696878601071</v>
      </c>
      <c r="J99" s="10">
        <f t="shared" si="9"/>
        <v>33.517393757202143</v>
      </c>
      <c r="K99" s="131">
        <f t="shared" si="11"/>
        <v>7.4794909260801788E-3</v>
      </c>
      <c r="M99" s="280"/>
    </row>
    <row r="100" spans="2:13" ht="85.5" x14ac:dyDescent="0.2">
      <c r="B100" s="7" t="s">
        <v>376</v>
      </c>
      <c r="C100" s="32" t="s">
        <v>387</v>
      </c>
      <c r="D100" s="7" t="s">
        <v>41</v>
      </c>
      <c r="E100" s="10">
        <f>MEMÓRIA!E98</f>
        <v>2</v>
      </c>
      <c r="F100" s="7">
        <v>89731</v>
      </c>
      <c r="G100" s="10">
        <v>13.98</v>
      </c>
      <c r="H100" s="10">
        <f t="shared" si="8"/>
        <v>3.4949446082526259</v>
      </c>
      <c r="I100" s="10">
        <v>14.329454578767155</v>
      </c>
      <c r="J100" s="10">
        <f t="shared" si="9"/>
        <v>28.65890915753431</v>
      </c>
      <c r="K100" s="131">
        <f t="shared" si="11"/>
        <v>6.3953078377125931E-3</v>
      </c>
      <c r="M100" s="280"/>
    </row>
    <row r="101" spans="2:13" ht="85.5" x14ac:dyDescent="0.2">
      <c r="B101" s="7" t="s">
        <v>377</v>
      </c>
      <c r="C101" s="32" t="s">
        <v>381</v>
      </c>
      <c r="D101" s="7" t="s">
        <v>41</v>
      </c>
      <c r="E101" s="10">
        <f>MEMÓRIA!E99</f>
        <v>2</v>
      </c>
      <c r="F101" s="7">
        <v>89744</v>
      </c>
      <c r="G101" s="10">
        <v>25.86</v>
      </c>
      <c r="H101" s="10">
        <f t="shared" si="8"/>
        <v>6.4648975371539983</v>
      </c>
      <c r="I101" s="10">
        <v>26.506415980466279</v>
      </c>
      <c r="J101" s="10">
        <f t="shared" si="9"/>
        <v>53.012831960932559</v>
      </c>
      <c r="K101" s="131">
        <f t="shared" si="11"/>
        <v>1.1829947116112134E-2</v>
      </c>
      <c r="M101" s="280"/>
    </row>
    <row r="102" spans="2:13" ht="28.5" x14ac:dyDescent="0.2">
      <c r="B102" s="7" t="s">
        <v>901</v>
      </c>
      <c r="C102" s="28" t="s">
        <v>392</v>
      </c>
      <c r="D102" s="7" t="s">
        <v>41</v>
      </c>
      <c r="E102" s="10">
        <f>MEMÓRIA!E100</f>
        <v>2</v>
      </c>
      <c r="F102" s="7" t="s">
        <v>391</v>
      </c>
      <c r="G102" s="10">
        <v>60.17</v>
      </c>
      <c r="H102" s="10">
        <f t="shared" si="8"/>
        <v>15.042261593602325</v>
      </c>
      <c r="I102" s="10">
        <v>61.674054506753905</v>
      </c>
      <c r="J102" s="10">
        <f t="shared" si="9"/>
        <v>123.34810901350781</v>
      </c>
      <c r="K102" s="131">
        <f t="shared" si="11"/>
        <v>2.7525441530412496E-2</v>
      </c>
      <c r="M102" s="280"/>
    </row>
    <row r="103" spans="2:13" ht="85.5" x14ac:dyDescent="0.2">
      <c r="B103" s="7" t="s">
        <v>902</v>
      </c>
      <c r="C103" s="28" t="s">
        <v>662</v>
      </c>
      <c r="D103" s="7" t="s">
        <v>41</v>
      </c>
      <c r="E103" s="10">
        <f>MEMÓRIA!E101</f>
        <v>4</v>
      </c>
      <c r="F103" s="7">
        <v>89778</v>
      </c>
      <c r="G103" s="10">
        <v>15.45</v>
      </c>
      <c r="H103" s="10">
        <f t="shared" si="8"/>
        <v>3.8624387837985026</v>
      </c>
      <c r="I103" s="10">
        <v>15.836199802714772</v>
      </c>
      <c r="J103" s="10">
        <f t="shared" si="9"/>
        <v>63.344799210859087</v>
      </c>
      <c r="K103" s="131">
        <f t="shared" si="11"/>
        <v>1.4135551658463457E-2</v>
      </c>
      <c r="M103" s="280"/>
    </row>
    <row r="104" spans="2:13" ht="57" x14ac:dyDescent="0.2">
      <c r="B104" s="7" t="s">
        <v>903</v>
      </c>
      <c r="C104" s="28" t="s">
        <v>664</v>
      </c>
      <c r="D104" s="7" t="s">
        <v>41</v>
      </c>
      <c r="E104" s="10">
        <f>MEMÓRIA!E102</f>
        <v>4</v>
      </c>
      <c r="F104" s="7">
        <v>89813</v>
      </c>
      <c r="G104" s="10">
        <v>5.19</v>
      </c>
      <c r="H104" s="10">
        <f t="shared" si="8"/>
        <v>1.2974794361109534</v>
      </c>
      <c r="I104" s="10">
        <v>5.3197331376109824</v>
      </c>
      <c r="J104" s="10">
        <f t="shared" si="9"/>
        <v>21.27893255044393</v>
      </c>
      <c r="K104" s="131">
        <f t="shared" si="11"/>
        <v>4.7484474503187929E-3</v>
      </c>
      <c r="M104" s="280"/>
    </row>
    <row r="105" spans="2:13" ht="28.5" x14ac:dyDescent="0.2">
      <c r="B105" s="7" t="s">
        <v>904</v>
      </c>
      <c r="C105" s="28" t="s">
        <v>394</v>
      </c>
      <c r="D105" s="7" t="s">
        <v>41</v>
      </c>
      <c r="E105" s="10">
        <f>MEMÓRIA!E103</f>
        <v>3</v>
      </c>
      <c r="F105" s="7" t="s">
        <v>393</v>
      </c>
      <c r="G105" s="10">
        <v>669.78</v>
      </c>
      <c r="H105" s="10">
        <f t="shared" si="8"/>
        <v>167.44234618851527</v>
      </c>
      <c r="I105" s="10">
        <v>686.52232387458253</v>
      </c>
      <c r="J105" s="10">
        <f t="shared" si="9"/>
        <v>2059.5669716237476</v>
      </c>
      <c r="K105" s="131">
        <f t="shared" si="11"/>
        <v>0.45959756261192497</v>
      </c>
      <c r="M105" s="280"/>
    </row>
    <row r="106" spans="2:13" x14ac:dyDescent="0.2">
      <c r="B106" s="157" t="s">
        <v>397</v>
      </c>
      <c r="C106" s="171" t="s">
        <v>398</v>
      </c>
      <c r="D106" s="157"/>
      <c r="E106" s="159"/>
      <c r="F106" s="157"/>
      <c r="G106" s="159"/>
      <c r="H106" s="159"/>
      <c r="I106" s="160"/>
      <c r="J106" s="159">
        <f>SUM(J107:J112)</f>
        <v>3264.5531520814493</v>
      </c>
      <c r="K106" s="159">
        <f>SUM(K107:K112)</f>
        <v>0.72849326697583505</v>
      </c>
      <c r="M106" s="281"/>
    </row>
    <row r="107" spans="2:13" ht="85.5" x14ac:dyDescent="0.2">
      <c r="B107" s="7" t="s">
        <v>399</v>
      </c>
      <c r="C107" s="28" t="s">
        <v>401</v>
      </c>
      <c r="D107" s="7" t="s">
        <v>41</v>
      </c>
      <c r="E107" s="10">
        <f>MEMÓRIA!E105</f>
        <v>2</v>
      </c>
      <c r="F107" s="7">
        <v>86931</v>
      </c>
      <c r="G107" s="10">
        <v>513.75</v>
      </c>
      <c r="H107" s="10">
        <f t="shared" si="8"/>
        <v>128.43546441271721</v>
      </c>
      <c r="I107" s="10">
        <v>526.59208081842814</v>
      </c>
      <c r="J107" s="10">
        <f t="shared" si="9"/>
        <v>1053.1841616368563</v>
      </c>
      <c r="K107" s="131">
        <f t="shared" ref="K107:K112" si="12">J107/$J$332*100</f>
        <v>0.23502070111765699</v>
      </c>
      <c r="M107" s="280"/>
    </row>
    <row r="108" spans="2:13" ht="42.75" x14ac:dyDescent="0.2">
      <c r="B108" s="7" t="s">
        <v>402</v>
      </c>
      <c r="C108" s="28" t="s">
        <v>405</v>
      </c>
      <c r="D108" s="7" t="s">
        <v>41</v>
      </c>
      <c r="E108" s="10">
        <f>MEMÓRIA!E106</f>
        <v>2</v>
      </c>
      <c r="F108" s="7">
        <v>100849</v>
      </c>
      <c r="G108" s="10">
        <v>47.61</v>
      </c>
      <c r="H108" s="10">
        <f t="shared" si="8"/>
        <v>11.90231135900626</v>
      </c>
      <c r="I108" s="10">
        <v>48.800095314385132</v>
      </c>
      <c r="J108" s="10">
        <f t="shared" si="9"/>
        <v>97.600190628770264</v>
      </c>
      <c r="K108" s="131">
        <f t="shared" si="12"/>
        <v>2.1779728623283014E-2</v>
      </c>
      <c r="M108" s="280"/>
    </row>
    <row r="109" spans="2:13" ht="128.25" x14ac:dyDescent="0.2">
      <c r="B109" s="7" t="s">
        <v>404</v>
      </c>
      <c r="C109" s="28" t="s">
        <v>403</v>
      </c>
      <c r="D109" s="7" t="s">
        <v>41</v>
      </c>
      <c r="E109" s="10">
        <f>MEMÓRIA!E107</f>
        <v>2</v>
      </c>
      <c r="F109" s="7">
        <v>86942</v>
      </c>
      <c r="G109" s="10">
        <v>269.58999999999997</v>
      </c>
      <c r="H109" s="10">
        <f t="shared" si="8"/>
        <v>67.396431826811536</v>
      </c>
      <c r="I109" s="10">
        <v>276.32887409798542</v>
      </c>
      <c r="J109" s="10">
        <f t="shared" si="9"/>
        <v>552.65774819597084</v>
      </c>
      <c r="K109" s="131">
        <f t="shared" si="12"/>
        <v>0.12332696995485963</v>
      </c>
      <c r="M109" s="280"/>
    </row>
    <row r="110" spans="2:13" ht="42.75" x14ac:dyDescent="0.2">
      <c r="B110" s="7" t="s">
        <v>406</v>
      </c>
      <c r="C110" s="28" t="s">
        <v>407</v>
      </c>
      <c r="D110" s="7" t="s">
        <v>41</v>
      </c>
      <c r="E110" s="10">
        <f>MEMÓRIA!E108</f>
        <v>2</v>
      </c>
      <c r="F110" s="7">
        <v>95544</v>
      </c>
      <c r="G110" s="10">
        <v>35.14</v>
      </c>
      <c r="H110" s="10">
        <f t="shared" si="8"/>
        <v>8.7848607678109634</v>
      </c>
      <c r="I110" s="10">
        <v>36.018385829604988</v>
      </c>
      <c r="J110" s="10">
        <f t="shared" si="9"/>
        <v>72.036771659209975</v>
      </c>
      <c r="K110" s="131">
        <f t="shared" si="12"/>
        <v>1.6075187225838377E-2</v>
      </c>
      <c r="M110" s="280"/>
    </row>
    <row r="111" spans="2:13" ht="42.75" x14ac:dyDescent="0.2">
      <c r="B111" s="7" t="s">
        <v>408</v>
      </c>
      <c r="C111" s="28" t="s">
        <v>409</v>
      </c>
      <c r="D111" s="7" t="s">
        <v>41</v>
      </c>
      <c r="E111" s="10">
        <f>MEMÓRIA!E109</f>
        <v>2</v>
      </c>
      <c r="F111" s="7">
        <v>95545</v>
      </c>
      <c r="G111" s="10">
        <v>34.5</v>
      </c>
      <c r="H111" s="10">
        <f t="shared" si="8"/>
        <v>8.6248633036277251</v>
      </c>
      <c r="I111" s="10">
        <v>35.362387908974739</v>
      </c>
      <c r="J111" s="10">
        <f t="shared" si="9"/>
        <v>70.724775817949478</v>
      </c>
      <c r="K111" s="131">
        <f t="shared" si="12"/>
        <v>1.5782412045857262E-2</v>
      </c>
      <c r="M111" s="280"/>
    </row>
    <row r="112" spans="2:13" ht="57" x14ac:dyDescent="0.2">
      <c r="B112" s="7" t="s">
        <v>410</v>
      </c>
      <c r="C112" s="28" t="s">
        <v>411</v>
      </c>
      <c r="D112" s="7" t="s">
        <v>41</v>
      </c>
      <c r="E112" s="10">
        <f>MEMÓRIA!E110</f>
        <v>4</v>
      </c>
      <c r="F112" s="7">
        <v>100873</v>
      </c>
      <c r="G112" s="10">
        <v>345.94</v>
      </c>
      <c r="H112" s="10">
        <f t="shared" si="8"/>
        <v>86.483629311796378</v>
      </c>
      <c r="I112" s="10">
        <v>354.58737603567306</v>
      </c>
      <c r="J112" s="10">
        <f t="shared" si="9"/>
        <v>1418.3495041426922</v>
      </c>
      <c r="K112" s="131">
        <f t="shared" si="12"/>
        <v>0.3165082680083397</v>
      </c>
      <c r="M112" s="280"/>
    </row>
    <row r="113" spans="2:13" x14ac:dyDescent="0.2">
      <c r="B113" s="157" t="s">
        <v>415</v>
      </c>
      <c r="C113" s="158" t="s">
        <v>38</v>
      </c>
      <c r="D113" s="157"/>
      <c r="E113" s="159"/>
      <c r="F113" s="157"/>
      <c r="G113" s="159"/>
      <c r="H113" s="159"/>
      <c r="I113" s="160"/>
      <c r="J113" s="159">
        <f>SUM(J114:J119)</f>
        <v>869.42397411640707</v>
      </c>
      <c r="K113" s="159">
        <f>SUM(K114:K119)</f>
        <v>0.19401415194828259</v>
      </c>
      <c r="M113" s="281"/>
    </row>
    <row r="114" spans="2:13" ht="42.75" x14ac:dyDescent="0.2">
      <c r="B114" s="7" t="s">
        <v>896</v>
      </c>
      <c r="C114" s="29" t="s">
        <v>416</v>
      </c>
      <c r="D114" s="7" t="s">
        <v>154</v>
      </c>
      <c r="E114" s="10">
        <f>MEMÓRIA!E112</f>
        <v>8.4600000000000009</v>
      </c>
      <c r="F114" s="7" t="s">
        <v>166</v>
      </c>
      <c r="G114" s="10">
        <v>18.600000000000001</v>
      </c>
      <c r="H114" s="10">
        <f t="shared" si="8"/>
        <v>4.6499263028253823</v>
      </c>
      <c r="I114" s="10">
        <v>19.064939568316813</v>
      </c>
      <c r="J114" s="10">
        <f t="shared" si="9"/>
        <v>161.28938874796026</v>
      </c>
      <c r="K114" s="131">
        <f t="shared" ref="K114:K119" si="13">J114/$J$332*100</f>
        <v>3.5992133766491519E-2</v>
      </c>
      <c r="M114" s="280"/>
    </row>
    <row r="115" spans="2:13" ht="57" x14ac:dyDescent="0.2">
      <c r="B115" s="7" t="s">
        <v>897</v>
      </c>
      <c r="C115" s="29" t="s">
        <v>720</v>
      </c>
      <c r="D115" s="7" t="s">
        <v>154</v>
      </c>
      <c r="E115" s="10">
        <f>MEMÓRIA!E113</f>
        <v>23.760000000000005</v>
      </c>
      <c r="F115" s="7" t="s">
        <v>165</v>
      </c>
      <c r="G115" s="10">
        <v>10.07</v>
      </c>
      <c r="H115" s="10">
        <f t="shared" si="8"/>
        <v>2.5174601005081505</v>
      </c>
      <c r="I115" s="10">
        <v>10.321717282416685</v>
      </c>
      <c r="J115" s="10">
        <f t="shared" si="9"/>
        <v>245.24400263022048</v>
      </c>
      <c r="K115" s="131">
        <f t="shared" si="13"/>
        <v>5.4726817533483407E-2</v>
      </c>
      <c r="M115" s="280"/>
    </row>
    <row r="116" spans="2:13" ht="42.75" x14ac:dyDescent="0.2">
      <c r="B116" s="7" t="s">
        <v>898</v>
      </c>
      <c r="C116" s="29" t="s">
        <v>417</v>
      </c>
      <c r="D116" s="7" t="s">
        <v>154</v>
      </c>
      <c r="E116" s="10">
        <f>MEMÓRIA!E114</f>
        <v>23.760000000000005</v>
      </c>
      <c r="F116" s="7" t="s">
        <v>168</v>
      </c>
      <c r="G116" s="10">
        <v>3.64</v>
      </c>
      <c r="H116" s="10">
        <f t="shared" si="8"/>
        <v>0.90998557754217158</v>
      </c>
      <c r="I116" s="10">
        <v>3.7309881735845809</v>
      </c>
      <c r="J116" s="10">
        <f t="shared" si="9"/>
        <v>88.648279004369655</v>
      </c>
      <c r="K116" s="131">
        <f t="shared" si="13"/>
        <v>1.9782086973374337E-2</v>
      </c>
      <c r="M116" s="280"/>
    </row>
    <row r="117" spans="2:13" ht="42.75" x14ac:dyDescent="0.2">
      <c r="B117" s="7" t="s">
        <v>899</v>
      </c>
      <c r="C117" s="29" t="s">
        <v>418</v>
      </c>
      <c r="D117" s="7" t="s">
        <v>154</v>
      </c>
      <c r="E117" s="10">
        <f>MEMÓRIA!E115</f>
        <v>8.4600000000000009</v>
      </c>
      <c r="F117" s="7" t="s">
        <v>169</v>
      </c>
      <c r="G117" s="10">
        <v>4.49</v>
      </c>
      <c r="H117" s="10">
        <f t="shared" si="8"/>
        <v>1.1224822096605358</v>
      </c>
      <c r="I117" s="10">
        <v>4.6022354119216393</v>
      </c>
      <c r="J117" s="10">
        <f t="shared" si="9"/>
        <v>38.934911584857069</v>
      </c>
      <c r="K117" s="131">
        <f t="shared" si="13"/>
        <v>8.6884236887928446E-3</v>
      </c>
      <c r="M117" s="280"/>
    </row>
    <row r="118" spans="2:13" ht="57" x14ac:dyDescent="0.2">
      <c r="B118" s="7" t="s">
        <v>900</v>
      </c>
      <c r="C118" s="29" t="s">
        <v>912</v>
      </c>
      <c r="D118" s="7" t="s">
        <v>154</v>
      </c>
      <c r="E118" s="10">
        <f>MEMÓRIA!E116</f>
        <v>23.760000000000005</v>
      </c>
      <c r="F118" s="130" t="s">
        <v>911</v>
      </c>
      <c r="G118" s="10">
        <v>8.68</v>
      </c>
      <c r="H118" s="10">
        <f t="shared" ref="H118" si="14">G118*$J$12</f>
        <v>2.1699656079851781</v>
      </c>
      <c r="I118" s="10">
        <v>8.8969717985478454</v>
      </c>
      <c r="J118" s="10">
        <f t="shared" ref="J118" si="15">E118*I118</f>
        <v>211.39204993349685</v>
      </c>
      <c r="K118" s="131">
        <f t="shared" si="13"/>
        <v>4.7172668936508032E-2</v>
      </c>
      <c r="M118" s="280"/>
    </row>
    <row r="119" spans="2:13" ht="42.75" x14ac:dyDescent="0.2">
      <c r="B119" s="7" t="s">
        <v>916</v>
      </c>
      <c r="C119" s="29" t="s">
        <v>419</v>
      </c>
      <c r="D119" s="7" t="s">
        <v>154</v>
      </c>
      <c r="E119" s="10">
        <f>MEMÓRIA!E117</f>
        <v>8.4600000000000009</v>
      </c>
      <c r="F119" s="7" t="s">
        <v>167</v>
      </c>
      <c r="G119" s="10">
        <v>14.29</v>
      </c>
      <c r="H119" s="10">
        <f t="shared" si="8"/>
        <v>3.5724433799663817</v>
      </c>
      <c r="I119" s="10">
        <v>14.647203571572431</v>
      </c>
      <c r="J119" s="10">
        <f t="shared" si="9"/>
        <v>123.91534221550278</v>
      </c>
      <c r="K119" s="131">
        <f t="shared" si="13"/>
        <v>2.7652021049632457E-2</v>
      </c>
      <c r="M119" s="280"/>
    </row>
    <row r="120" spans="2:13" x14ac:dyDescent="0.2">
      <c r="B120" s="115"/>
      <c r="C120" s="116"/>
      <c r="D120" s="7"/>
      <c r="E120" s="10"/>
      <c r="F120" s="7"/>
      <c r="G120" s="10"/>
      <c r="H120" s="10"/>
      <c r="I120" s="10"/>
      <c r="J120" s="10"/>
      <c r="K120" s="131"/>
      <c r="M120" s="280"/>
    </row>
    <row r="121" spans="2:13" x14ac:dyDescent="0.2">
      <c r="B121" s="161">
        <v>3</v>
      </c>
      <c r="C121" s="173" t="s">
        <v>279</v>
      </c>
      <c r="D121" s="161"/>
      <c r="E121" s="163"/>
      <c r="F121" s="161"/>
      <c r="G121" s="163"/>
      <c r="H121" s="163"/>
      <c r="I121" s="164"/>
      <c r="J121" s="163">
        <f>J122+J125+J130+J139+J146+J151+J192+J213+J237+J245+J254+J258</f>
        <v>330126.44350648718</v>
      </c>
      <c r="K121" s="163">
        <f>K122+K125+K130+K139+K146+K151+K192+K213+K237+K245+K254+K258</f>
        <v>73.668548233566653</v>
      </c>
      <c r="M121" s="281"/>
    </row>
    <row r="122" spans="2:13" x14ac:dyDescent="0.2">
      <c r="B122" s="157" t="s">
        <v>25</v>
      </c>
      <c r="C122" s="167" t="s">
        <v>33</v>
      </c>
      <c r="D122" s="157"/>
      <c r="E122" s="159"/>
      <c r="F122" s="157"/>
      <c r="G122" s="159"/>
      <c r="H122" s="159"/>
      <c r="I122" s="160"/>
      <c r="J122" s="159">
        <f>SUM(J123:J124)</f>
        <v>1336.1997455394362</v>
      </c>
      <c r="K122" s="159">
        <f>SUM(K123:K124)</f>
        <v>0.2981763422475337</v>
      </c>
      <c r="M122" s="281"/>
    </row>
    <row r="123" spans="2:13" ht="85.5" x14ac:dyDescent="0.2">
      <c r="B123" s="7" t="s">
        <v>275</v>
      </c>
      <c r="C123" s="21" t="s">
        <v>318</v>
      </c>
      <c r="D123" s="7" t="s">
        <v>154</v>
      </c>
      <c r="E123" s="10">
        <f>MEMÓRIA!E121</f>
        <v>12.804000000000002</v>
      </c>
      <c r="F123" s="7">
        <v>103328</v>
      </c>
      <c r="G123" s="10">
        <v>86.61</v>
      </c>
      <c r="H123" s="10">
        <f t="shared" si="8"/>
        <v>21.652156832672382</v>
      </c>
      <c r="I123" s="10">
        <v>88.774968602791361</v>
      </c>
      <c r="J123" s="10">
        <f t="shared" si="9"/>
        <v>1136.6746979901407</v>
      </c>
      <c r="K123" s="131">
        <f>J123/$J$332*100</f>
        <v>0.25365182481395493</v>
      </c>
      <c r="M123" s="280"/>
    </row>
    <row r="124" spans="2:13" ht="57" x14ac:dyDescent="0.2">
      <c r="B124" s="7" t="s">
        <v>276</v>
      </c>
      <c r="C124" s="21" t="s">
        <v>420</v>
      </c>
      <c r="D124" s="7" t="s">
        <v>333</v>
      </c>
      <c r="E124" s="10">
        <f>MEMÓRIA!E122</f>
        <v>2.88</v>
      </c>
      <c r="F124" s="7">
        <v>93205</v>
      </c>
      <c r="G124" s="10">
        <v>67.59</v>
      </c>
      <c r="H124" s="10">
        <f t="shared" si="8"/>
        <v>16.897232193976752</v>
      </c>
      <c r="I124" s="10">
        <v>69.279530399060931</v>
      </c>
      <c r="J124" s="10">
        <f t="shared" si="9"/>
        <v>199.52504754929546</v>
      </c>
      <c r="K124" s="131">
        <f>J124/$J$332*100</f>
        <v>4.452451743357879E-2</v>
      </c>
      <c r="M124" s="280"/>
    </row>
    <row r="125" spans="2:13" x14ac:dyDescent="0.2">
      <c r="B125" s="157" t="s">
        <v>26</v>
      </c>
      <c r="C125" s="167" t="s">
        <v>20</v>
      </c>
      <c r="D125" s="157"/>
      <c r="E125" s="159"/>
      <c r="F125" s="157"/>
      <c r="G125" s="159"/>
      <c r="H125" s="159"/>
      <c r="I125" s="160"/>
      <c r="J125" s="159">
        <f>SUM(J126:J129)</f>
        <v>35241.544523021803</v>
      </c>
      <c r="K125" s="159">
        <f>SUM(K126:K129)</f>
        <v>7.8642395166644734</v>
      </c>
      <c r="M125" s="281"/>
    </row>
    <row r="126" spans="2:13" ht="57" x14ac:dyDescent="0.2">
      <c r="B126" s="7" t="s">
        <v>446</v>
      </c>
      <c r="C126" s="122" t="s">
        <v>421</v>
      </c>
      <c r="D126" s="7" t="s">
        <v>154</v>
      </c>
      <c r="E126" s="10">
        <f>MEMÓRIA!E124</f>
        <v>361.62979999999999</v>
      </c>
      <c r="F126" s="7">
        <v>94447</v>
      </c>
      <c r="G126" s="10">
        <v>39.299999999999997</v>
      </c>
      <c r="H126" s="10">
        <f t="shared" si="8"/>
        <v>9.8248442850020155</v>
      </c>
      <c r="I126" s="10">
        <v>40.28237231370165</v>
      </c>
      <c r="J126" s="10">
        <f t="shared" si="9"/>
        <v>14567.306243329465</v>
      </c>
      <c r="K126" s="131">
        <f>J126/$J$332*100</f>
        <v>3.2507311175112368</v>
      </c>
      <c r="M126" s="280"/>
    </row>
    <row r="127" spans="2:13" ht="85.5" x14ac:dyDescent="0.2">
      <c r="B127" s="7" t="s">
        <v>447</v>
      </c>
      <c r="C127" s="122" t="s">
        <v>422</v>
      </c>
      <c r="D127" s="7" t="s">
        <v>333</v>
      </c>
      <c r="E127" s="10">
        <f>MEMÓRIA!E125</f>
        <v>32.89</v>
      </c>
      <c r="F127" s="7">
        <v>94221</v>
      </c>
      <c r="G127" s="10">
        <v>22.25</v>
      </c>
      <c r="H127" s="10">
        <f t="shared" si="8"/>
        <v>5.5624118407454164</v>
      </c>
      <c r="I127" s="10">
        <v>22.806177709411241</v>
      </c>
      <c r="J127" s="10">
        <f t="shared" si="9"/>
        <v>750.09518486253569</v>
      </c>
      <c r="K127" s="131">
        <f>J127/$J$332*100</f>
        <v>0.1673856317563544</v>
      </c>
      <c r="M127" s="280"/>
    </row>
    <row r="128" spans="2:13" ht="28.5" x14ac:dyDescent="0.2">
      <c r="B128" s="7" t="s">
        <v>448</v>
      </c>
      <c r="C128" s="13" t="s">
        <v>423</v>
      </c>
      <c r="D128" s="7" t="s">
        <v>333</v>
      </c>
      <c r="E128" s="10">
        <f>MEMÓRIA!E126</f>
        <v>65.78</v>
      </c>
      <c r="F128" s="7" t="s">
        <v>150</v>
      </c>
      <c r="G128" s="10">
        <v>8.2799999999999994</v>
      </c>
      <c r="H128" s="10">
        <f t="shared" si="8"/>
        <v>2.0699671928706538</v>
      </c>
      <c r="I128" s="10">
        <v>8.4869730981539355</v>
      </c>
      <c r="J128" s="10">
        <f t="shared" si="9"/>
        <v>558.27309039656586</v>
      </c>
      <c r="K128" s="131">
        <f>J128/$J$332*100</f>
        <v>0.12458004772517882</v>
      </c>
      <c r="M128" s="280"/>
    </row>
    <row r="129" spans="2:13" ht="42.75" x14ac:dyDescent="0.2">
      <c r="B129" s="7" t="s">
        <v>449</v>
      </c>
      <c r="C129" s="8" t="s">
        <v>892</v>
      </c>
      <c r="D129" s="7" t="s">
        <v>154</v>
      </c>
      <c r="E129" s="10">
        <f>MEMÓRIA!E127</f>
        <v>454.61</v>
      </c>
      <c r="F129" s="7">
        <v>96113</v>
      </c>
      <c r="G129" s="10">
        <v>41.56</v>
      </c>
      <c r="H129" s="10">
        <f t="shared" si="8"/>
        <v>10.38983533039908</v>
      </c>
      <c r="I129" s="10">
        <v>42.598864970927252</v>
      </c>
      <c r="J129" s="10">
        <f t="shared" si="9"/>
        <v>19365.87000443324</v>
      </c>
      <c r="K129" s="131">
        <f>J129/$J$332*100</f>
        <v>4.3215427196717036</v>
      </c>
      <c r="M129" s="280"/>
    </row>
    <row r="130" spans="2:13" x14ac:dyDescent="0.2">
      <c r="B130" s="172" t="s">
        <v>27</v>
      </c>
      <c r="C130" s="167" t="s">
        <v>23</v>
      </c>
      <c r="D130" s="157"/>
      <c r="E130" s="159"/>
      <c r="F130" s="157"/>
      <c r="G130" s="159"/>
      <c r="H130" s="159"/>
      <c r="I130" s="160"/>
      <c r="J130" s="159">
        <f>SUM(J131:J138)</f>
        <v>40920.463541092206</v>
      </c>
      <c r="K130" s="159">
        <f>SUM(K131:K138)</f>
        <v>9.131504614102866</v>
      </c>
      <c r="M130" s="281"/>
    </row>
    <row r="131" spans="2:13" ht="85.5" x14ac:dyDescent="0.2">
      <c r="B131" s="20" t="s">
        <v>450</v>
      </c>
      <c r="C131" s="122" t="s">
        <v>872</v>
      </c>
      <c r="D131" s="7" t="s">
        <v>41</v>
      </c>
      <c r="E131" s="10">
        <f>MEMÓRIA!E129</f>
        <v>21</v>
      </c>
      <c r="F131" s="7" t="s">
        <v>871</v>
      </c>
      <c r="G131" s="10">
        <v>393.25</v>
      </c>
      <c r="H131" s="10">
        <f t="shared" si="8"/>
        <v>98.310941859466737</v>
      </c>
      <c r="I131" s="10">
        <v>403.07997232476276</v>
      </c>
      <c r="J131" s="10">
        <f t="shared" si="9"/>
        <v>8464.6794188200183</v>
      </c>
      <c r="K131" s="131">
        <f t="shared" ref="K131:K138" si="16">J131/$J$332*100</f>
        <v>1.8889145547492856</v>
      </c>
      <c r="M131" s="280"/>
    </row>
    <row r="132" spans="2:13" ht="85.5" x14ac:dyDescent="0.2">
      <c r="B132" s="20" t="s">
        <v>451</v>
      </c>
      <c r="C132" s="122" t="s">
        <v>874</v>
      </c>
      <c r="D132" s="7" t="s">
        <v>41</v>
      </c>
      <c r="E132" s="10">
        <f>MEMÓRIA!E130</f>
        <v>3</v>
      </c>
      <c r="F132" s="7" t="s">
        <v>873</v>
      </c>
      <c r="G132" s="10">
        <v>362.08</v>
      </c>
      <c r="H132" s="10">
        <f t="shared" si="8"/>
        <v>90.518565361667427</v>
      </c>
      <c r="I132" s="10">
        <v>371.13082359656727</v>
      </c>
      <c r="J132" s="10">
        <f t="shared" si="9"/>
        <v>1113.3924707897017</v>
      </c>
      <c r="K132" s="131">
        <f t="shared" si="16"/>
        <v>0.24845633711147805</v>
      </c>
      <c r="M132" s="280"/>
    </row>
    <row r="133" spans="2:13" ht="71.25" x14ac:dyDescent="0.2">
      <c r="B133" s="20" t="s">
        <v>452</v>
      </c>
      <c r="C133" s="122" t="s">
        <v>432</v>
      </c>
      <c r="D133" s="7" t="s">
        <v>154</v>
      </c>
      <c r="E133" s="10">
        <f>MEMÓRIA!E131</f>
        <v>1.6800000000000002</v>
      </c>
      <c r="F133" s="7" t="s">
        <v>431</v>
      </c>
      <c r="G133" s="10">
        <v>710.04</v>
      </c>
      <c r="H133" s="10">
        <f t="shared" si="8"/>
        <v>177.50718666979216</v>
      </c>
      <c r="I133" s="10">
        <v>727.78869306922957</v>
      </c>
      <c r="J133" s="10">
        <f t="shared" si="9"/>
        <v>1222.6850043563059</v>
      </c>
      <c r="K133" s="131">
        <f t="shared" si="16"/>
        <v>0.27284524154185541</v>
      </c>
      <c r="M133" s="280"/>
    </row>
    <row r="134" spans="2:13" ht="99.75" x14ac:dyDescent="0.2">
      <c r="B134" s="20" t="s">
        <v>453</v>
      </c>
      <c r="C134" s="13" t="s">
        <v>881</v>
      </c>
      <c r="D134" s="7" t="s">
        <v>41</v>
      </c>
      <c r="E134" s="10">
        <f>MEMÓRIA!E132</f>
        <v>10</v>
      </c>
      <c r="F134" s="7" t="s">
        <v>197</v>
      </c>
      <c r="G134" s="10">
        <f>composições!H43</f>
        <v>629.15472</v>
      </c>
      <c r="H134" s="10">
        <f t="shared" si="8"/>
        <v>157.28618715455582</v>
      </c>
      <c r="I134" s="10">
        <v>644.8815438667358</v>
      </c>
      <c r="J134" s="10">
        <f t="shared" si="9"/>
        <v>6448.8154386673577</v>
      </c>
      <c r="K134" s="131">
        <f t="shared" si="16"/>
        <v>1.4390694248747753</v>
      </c>
      <c r="M134" s="280"/>
    </row>
    <row r="135" spans="2:13" ht="57" x14ac:dyDescent="0.2">
      <c r="B135" s="20" t="s">
        <v>454</v>
      </c>
      <c r="C135" s="21" t="s">
        <v>427</v>
      </c>
      <c r="D135" s="7" t="s">
        <v>154</v>
      </c>
      <c r="E135" s="10">
        <f>MEMÓRIA!E133</f>
        <v>10.23</v>
      </c>
      <c r="F135" s="7" t="s">
        <v>424</v>
      </c>
      <c r="G135" s="10">
        <v>520</v>
      </c>
      <c r="H135" s="10">
        <f t="shared" si="8"/>
        <v>129.99793964888164</v>
      </c>
      <c r="I135" s="10">
        <v>532.99831051208287</v>
      </c>
      <c r="J135" s="10">
        <f t="shared" si="9"/>
        <v>5452.5727165386079</v>
      </c>
      <c r="K135" s="131">
        <f t="shared" si="16"/>
        <v>1.2167553495527863</v>
      </c>
      <c r="M135" s="280"/>
    </row>
    <row r="136" spans="2:13" ht="57" x14ac:dyDescent="0.2">
      <c r="B136" s="20" t="s">
        <v>455</v>
      </c>
      <c r="C136" s="21" t="s">
        <v>433</v>
      </c>
      <c r="D136" s="7" t="s">
        <v>154</v>
      </c>
      <c r="E136" s="10">
        <f>MEMÓRIA!E134</f>
        <v>3.7800000000000002</v>
      </c>
      <c r="F136" s="7" t="s">
        <v>426</v>
      </c>
      <c r="G136" s="10">
        <v>952.95</v>
      </c>
      <c r="H136" s="10">
        <f t="shared" si="8"/>
        <v>238.23372420846493</v>
      </c>
      <c r="I136" s="10">
        <v>976.77065385094136</v>
      </c>
      <c r="J136" s="10">
        <f t="shared" si="9"/>
        <v>3692.1930715565586</v>
      </c>
      <c r="K136" s="131">
        <f t="shared" si="16"/>
        <v>0.82392219323763438</v>
      </c>
      <c r="M136" s="280"/>
    </row>
    <row r="137" spans="2:13" ht="42.75" x14ac:dyDescent="0.2">
      <c r="B137" s="20" t="s">
        <v>456</v>
      </c>
      <c r="C137" s="21" t="s">
        <v>435</v>
      </c>
      <c r="D137" s="7" t="s">
        <v>41</v>
      </c>
      <c r="E137" s="10">
        <f>MEMÓRIA!E135</f>
        <v>2</v>
      </c>
      <c r="F137" s="7" t="s">
        <v>434</v>
      </c>
      <c r="G137" s="10">
        <v>292.72000000000003</v>
      </c>
      <c r="H137" s="10">
        <f t="shared" si="8"/>
        <v>73.178840180808919</v>
      </c>
      <c r="I137" s="10">
        <v>300.03704894826336</v>
      </c>
      <c r="J137" s="10">
        <f t="shared" si="9"/>
        <v>600.07409789652672</v>
      </c>
      <c r="K137" s="131">
        <f t="shared" si="16"/>
        <v>0.13390804794386485</v>
      </c>
      <c r="M137" s="280"/>
    </row>
    <row r="138" spans="2:13" ht="42.75" x14ac:dyDescent="0.2">
      <c r="B138" s="20" t="s">
        <v>457</v>
      </c>
      <c r="C138" s="21" t="s">
        <v>895</v>
      </c>
      <c r="D138" s="10" t="s">
        <v>154</v>
      </c>
      <c r="E138" s="10">
        <f>MEMÓRIA!E136</f>
        <v>49.847500000000004</v>
      </c>
      <c r="F138" s="7" t="s">
        <v>894</v>
      </c>
      <c r="G138" s="10">
        <v>272.56</v>
      </c>
      <c r="H138" s="10">
        <f t="shared" si="8"/>
        <v>68.138920059036892</v>
      </c>
      <c r="I138" s="10">
        <v>279.37311444841026</v>
      </c>
      <c r="J138" s="10">
        <f t="shared" si="9"/>
        <v>13926.051322467132</v>
      </c>
      <c r="K138" s="131">
        <f t="shared" si="16"/>
        <v>3.1076334650911863</v>
      </c>
      <c r="M138" s="280"/>
    </row>
    <row r="139" spans="2:13" x14ac:dyDescent="0.2">
      <c r="B139" s="157" t="s">
        <v>436</v>
      </c>
      <c r="C139" s="165" t="s">
        <v>28</v>
      </c>
      <c r="D139" s="157"/>
      <c r="E139" s="159"/>
      <c r="F139" s="157"/>
      <c r="G139" s="159"/>
      <c r="H139" s="159"/>
      <c r="I139" s="160"/>
      <c r="J139" s="159">
        <f>SUM(J140:J145)</f>
        <v>61355.454212122073</v>
      </c>
      <c r="K139" s="159">
        <f>SUM(K140:K145)</f>
        <v>13.691624306155544</v>
      </c>
      <c r="M139" s="281"/>
    </row>
    <row r="140" spans="2:13" ht="85.5" x14ac:dyDescent="0.2">
      <c r="B140" s="7" t="s">
        <v>458</v>
      </c>
      <c r="C140" s="28" t="s">
        <v>329</v>
      </c>
      <c r="D140" s="7" t="s">
        <v>154</v>
      </c>
      <c r="E140" s="10">
        <f>MEMÓRIA!E138</f>
        <v>1173.7800000000002</v>
      </c>
      <c r="F140" s="7">
        <v>87878</v>
      </c>
      <c r="G140" s="10">
        <v>4.5999999999999996</v>
      </c>
      <c r="H140" s="10">
        <f t="shared" ref="H140:H201" si="17">G140*$J$12</f>
        <v>1.1499817738170299</v>
      </c>
      <c r="I140" s="10">
        <v>4.714985054529965</v>
      </c>
      <c r="J140" s="10">
        <f t="shared" ref="J140:J201" si="18">E140*I140</f>
        <v>5534.3551573061832</v>
      </c>
      <c r="K140" s="131">
        <f t="shared" ref="K140:K145" si="19">J140/$J$332*100</f>
        <v>1.2350053074124223</v>
      </c>
      <c r="M140" s="280"/>
    </row>
    <row r="141" spans="2:13" ht="57" x14ac:dyDescent="0.2">
      <c r="B141" s="7" t="s">
        <v>459</v>
      </c>
      <c r="C141" s="13" t="s">
        <v>442</v>
      </c>
      <c r="D141" s="7" t="s">
        <v>154</v>
      </c>
      <c r="E141" s="10">
        <f>MEMÓRIA!E139</f>
        <v>218.69</v>
      </c>
      <c r="F141" s="7" t="s">
        <v>441</v>
      </c>
      <c r="G141" s="10">
        <v>13.35</v>
      </c>
      <c r="H141" s="10">
        <f t="shared" si="17"/>
        <v>3.33744710444725</v>
      </c>
      <c r="I141" s="10">
        <v>13.683706625646746</v>
      </c>
      <c r="J141" s="10">
        <f t="shared" si="18"/>
        <v>2992.4898019626867</v>
      </c>
      <c r="K141" s="131">
        <f t="shared" si="19"/>
        <v>0.6677816444292578</v>
      </c>
      <c r="M141" s="280"/>
    </row>
    <row r="142" spans="2:13" ht="128.25" x14ac:dyDescent="0.2">
      <c r="B142" s="7" t="s">
        <v>460</v>
      </c>
      <c r="C142" s="29" t="s">
        <v>330</v>
      </c>
      <c r="D142" s="7" t="s">
        <v>154</v>
      </c>
      <c r="E142" s="10">
        <f>MEMÓRIA!E140</f>
        <v>265.42</v>
      </c>
      <c r="F142" s="7">
        <v>87549</v>
      </c>
      <c r="G142" s="10">
        <v>23.17</v>
      </c>
      <c r="H142" s="10">
        <f t="shared" si="17"/>
        <v>5.7924081955088234</v>
      </c>
      <c r="I142" s="10">
        <v>23.749174720317235</v>
      </c>
      <c r="J142" s="10">
        <f t="shared" si="18"/>
        <v>6303.5059542666013</v>
      </c>
      <c r="K142" s="131">
        <f t="shared" si="19"/>
        <v>1.4066432470543322</v>
      </c>
      <c r="M142" s="280"/>
    </row>
    <row r="143" spans="2:13" ht="114" x14ac:dyDescent="0.2">
      <c r="B143" s="7" t="s">
        <v>461</v>
      </c>
      <c r="C143" s="8" t="s">
        <v>891</v>
      </c>
      <c r="D143" s="7" t="s">
        <v>154</v>
      </c>
      <c r="E143" s="10">
        <f>MEMÓRIA!E141</f>
        <v>265.42</v>
      </c>
      <c r="F143" s="7" t="s">
        <v>890</v>
      </c>
      <c r="G143" s="10">
        <v>75.38</v>
      </c>
      <c r="H143" s="10">
        <f t="shared" si="17"/>
        <v>18.844701328332111</v>
      </c>
      <c r="I143" s="10">
        <v>77.264255089232321</v>
      </c>
      <c r="J143" s="10">
        <f t="shared" si="18"/>
        <v>20507.478585784043</v>
      </c>
      <c r="K143" s="131">
        <f t="shared" si="19"/>
        <v>4.5762955529976495</v>
      </c>
      <c r="M143" s="280"/>
    </row>
    <row r="144" spans="2:13" ht="114" x14ac:dyDescent="0.2">
      <c r="B144" s="7" t="s">
        <v>462</v>
      </c>
      <c r="C144" s="8" t="s">
        <v>331</v>
      </c>
      <c r="D144" s="7" t="s">
        <v>154</v>
      </c>
      <c r="E144" s="10">
        <f>MEMÓRIA!E142</f>
        <v>908.36000000000013</v>
      </c>
      <c r="F144" s="7">
        <v>87547</v>
      </c>
      <c r="G144" s="10">
        <v>24.27</v>
      </c>
      <c r="H144" s="10">
        <f t="shared" si="17"/>
        <v>6.0674038370737646</v>
      </c>
      <c r="I144" s="10">
        <v>24.876671146400486</v>
      </c>
      <c r="J144" s="10">
        <f t="shared" si="18"/>
        <v>22596.97300254435</v>
      </c>
      <c r="K144" s="131">
        <f t="shared" si="19"/>
        <v>5.0425715004494327</v>
      </c>
      <c r="M144" s="280"/>
    </row>
    <row r="145" spans="2:13" ht="71.25" x14ac:dyDescent="0.2">
      <c r="B145" s="7" t="s">
        <v>463</v>
      </c>
      <c r="C145" s="8" t="s">
        <v>718</v>
      </c>
      <c r="D145" s="7" t="s">
        <v>154</v>
      </c>
      <c r="E145" s="10">
        <f>MEMÓRIA!E143</f>
        <v>112.8587</v>
      </c>
      <c r="F145" s="7">
        <v>90408</v>
      </c>
      <c r="G145" s="10">
        <v>29.57</v>
      </c>
      <c r="H145" s="10">
        <f t="shared" si="17"/>
        <v>7.3923828373412119</v>
      </c>
      <c r="I145" s="10">
        <v>30.309153926619793</v>
      </c>
      <c r="J145" s="10">
        <f t="shared" si="18"/>
        <v>3420.6517102582052</v>
      </c>
      <c r="K145" s="131">
        <f t="shared" si="19"/>
        <v>0.76332705381244925</v>
      </c>
      <c r="M145" s="280"/>
    </row>
    <row r="146" spans="2:13" x14ac:dyDescent="0.2">
      <c r="B146" s="157" t="s">
        <v>437</v>
      </c>
      <c r="C146" s="165" t="s">
        <v>35</v>
      </c>
      <c r="D146" s="157"/>
      <c r="E146" s="159"/>
      <c r="F146" s="157"/>
      <c r="G146" s="159"/>
      <c r="H146" s="159"/>
      <c r="I146" s="160"/>
      <c r="J146" s="159">
        <f>SUM(J147:J150)</f>
        <v>18653.8694388191</v>
      </c>
      <c r="K146" s="159">
        <f>SUM(K147:K150)</f>
        <v>4.1626579982505882</v>
      </c>
      <c r="M146" s="281"/>
    </row>
    <row r="147" spans="2:13" ht="99.75" x14ac:dyDescent="0.2">
      <c r="B147" s="7" t="s">
        <v>464</v>
      </c>
      <c r="C147" s="13" t="s">
        <v>332</v>
      </c>
      <c r="D147" s="7" t="s">
        <v>154</v>
      </c>
      <c r="E147" s="10">
        <f>MEMÓRIA!E145</f>
        <v>98.45</v>
      </c>
      <c r="F147" s="7" t="s">
        <v>103</v>
      </c>
      <c r="G147" s="10">
        <v>30.71</v>
      </c>
      <c r="H147" s="10">
        <f t="shared" si="17"/>
        <v>7.6773783204176063</v>
      </c>
      <c r="I147" s="10">
        <v>31.47765022274244</v>
      </c>
      <c r="J147" s="10">
        <f t="shared" si="18"/>
        <v>3098.9746644289935</v>
      </c>
      <c r="K147" s="131">
        <f>J147/$J$332*100</f>
        <v>0.69154400997447563</v>
      </c>
      <c r="M147" s="280"/>
    </row>
    <row r="148" spans="2:13" ht="114" x14ac:dyDescent="0.2">
      <c r="B148" s="7" t="s">
        <v>465</v>
      </c>
      <c r="C148" s="13" t="s">
        <v>467</v>
      </c>
      <c r="D148" s="7" t="s">
        <v>154</v>
      </c>
      <c r="E148" s="10">
        <f>MEMÓRIA!E146</f>
        <v>98.45</v>
      </c>
      <c r="F148" s="7" t="s">
        <v>163</v>
      </c>
      <c r="G148" s="10">
        <v>91.02</v>
      </c>
      <c r="H148" s="10">
        <f t="shared" si="17"/>
        <v>22.754639359310012</v>
      </c>
      <c r="I148" s="10">
        <v>93.295204274634216</v>
      </c>
      <c r="J148" s="10">
        <f t="shared" si="18"/>
        <v>9184.9128608377396</v>
      </c>
      <c r="K148" s="131">
        <f>J148/$J$332*100</f>
        <v>2.0496364632978432</v>
      </c>
      <c r="M148" s="280"/>
    </row>
    <row r="149" spans="2:13" ht="114" x14ac:dyDescent="0.2">
      <c r="B149" s="7" t="s">
        <v>466</v>
      </c>
      <c r="C149" s="29" t="s">
        <v>891</v>
      </c>
      <c r="D149" s="7" t="s">
        <v>154</v>
      </c>
      <c r="E149" s="10">
        <f>MEMÓRIA!E147</f>
        <v>46.54</v>
      </c>
      <c r="F149" s="7" t="s">
        <v>890</v>
      </c>
      <c r="G149" s="10">
        <v>75.38</v>
      </c>
      <c r="H149" s="10">
        <f t="shared" si="17"/>
        <v>18.844701328332111</v>
      </c>
      <c r="I149" s="10">
        <v>77.264255089232321</v>
      </c>
      <c r="J149" s="10">
        <f t="shared" si="18"/>
        <v>3595.8784318528724</v>
      </c>
      <c r="K149" s="131">
        <f>J149/$J$332*100</f>
        <v>0.80242933854461074</v>
      </c>
      <c r="M149" s="280"/>
    </row>
    <row r="150" spans="2:13" x14ac:dyDescent="0.2">
      <c r="B150" s="7" t="s">
        <v>468</v>
      </c>
      <c r="C150" s="13" t="s">
        <v>470</v>
      </c>
      <c r="D150" s="7" t="s">
        <v>154</v>
      </c>
      <c r="E150" s="10">
        <f>MEMÓRIA!E148</f>
        <v>383.35</v>
      </c>
      <c r="F150" s="7" t="s">
        <v>469</v>
      </c>
      <c r="G150" s="10">
        <v>7.06</v>
      </c>
      <c r="H150" s="10">
        <f t="shared" si="17"/>
        <v>1.7649720267713545</v>
      </c>
      <c r="I150" s="10">
        <v>7.2364770619525105</v>
      </c>
      <c r="J150" s="10">
        <f t="shared" si="18"/>
        <v>2774.1034816994952</v>
      </c>
      <c r="K150" s="131">
        <f>J150/$J$332*100</f>
        <v>0.61904818643365822</v>
      </c>
      <c r="M150" s="280"/>
    </row>
    <row r="151" spans="2:13" x14ac:dyDescent="0.2">
      <c r="B151" s="157" t="s">
        <v>473</v>
      </c>
      <c r="C151" s="158" t="s">
        <v>36</v>
      </c>
      <c r="D151" s="157"/>
      <c r="E151" s="159"/>
      <c r="F151" s="157"/>
      <c r="G151" s="159"/>
      <c r="H151" s="159"/>
      <c r="I151" s="160"/>
      <c r="J151" s="159">
        <f>SUM(J152:J191)</f>
        <v>54291.07414668479</v>
      </c>
      <c r="K151" s="159">
        <f>SUM(K152:K191)</f>
        <v>12.115190082761719</v>
      </c>
      <c r="M151" s="281"/>
    </row>
    <row r="152" spans="2:13" ht="57" x14ac:dyDescent="0.2">
      <c r="B152" s="7" t="s">
        <v>474</v>
      </c>
      <c r="C152" s="13" t="s">
        <v>297</v>
      </c>
      <c r="D152" s="7" t="s">
        <v>333</v>
      </c>
      <c r="E152" s="10">
        <f>MEMÓRIA!E150</f>
        <v>342.28</v>
      </c>
      <c r="F152" s="7" t="s">
        <v>296</v>
      </c>
      <c r="G152" s="10">
        <v>5.13</v>
      </c>
      <c r="H152" s="10">
        <f t="shared" si="17"/>
        <v>1.2824796738437747</v>
      </c>
      <c r="I152" s="10">
        <v>5.2582333325518951</v>
      </c>
      <c r="J152" s="10">
        <f t="shared" si="18"/>
        <v>1799.7881050658625</v>
      </c>
      <c r="K152" s="131">
        <f t="shared" ref="K152:K191" si="20">J152/$J$332*100</f>
        <v>0.40162725354546941</v>
      </c>
      <c r="M152" s="280"/>
    </row>
    <row r="153" spans="2:13" ht="71.25" x14ac:dyDescent="0.2">
      <c r="B153" s="7" t="s">
        <v>475</v>
      </c>
      <c r="C153" s="13" t="s">
        <v>493</v>
      </c>
      <c r="D153" s="7" t="s">
        <v>333</v>
      </c>
      <c r="E153" s="10">
        <f>MEMÓRIA!E151</f>
        <v>4</v>
      </c>
      <c r="F153" s="7" t="s">
        <v>492</v>
      </c>
      <c r="G153" s="10">
        <v>11.68</v>
      </c>
      <c r="H153" s="10">
        <f t="shared" si="17"/>
        <v>2.9199537213441107</v>
      </c>
      <c r="I153" s="10">
        <v>11.971962051502171</v>
      </c>
      <c r="J153" s="10">
        <f t="shared" si="18"/>
        <v>47.887848206008684</v>
      </c>
      <c r="K153" s="131">
        <f t="shared" si="20"/>
        <v>1.0686294069310886E-2</v>
      </c>
      <c r="M153" s="280"/>
    </row>
    <row r="154" spans="2:13" ht="71.25" x14ac:dyDescent="0.2">
      <c r="B154" s="7" t="s">
        <v>476</v>
      </c>
      <c r="C154" s="13" t="s">
        <v>336</v>
      </c>
      <c r="D154" s="7" t="s">
        <v>333</v>
      </c>
      <c r="E154" s="10">
        <f>MEMÓRIA!E152</f>
        <v>419.58</v>
      </c>
      <c r="F154" s="7" t="s">
        <v>335</v>
      </c>
      <c r="G154" s="10">
        <v>13.35</v>
      </c>
      <c r="H154" s="10">
        <f t="shared" si="17"/>
        <v>3.33744710444725</v>
      </c>
      <c r="I154" s="10">
        <v>13.683706625646746</v>
      </c>
      <c r="J154" s="10">
        <f t="shared" si="18"/>
        <v>5741.4096259888611</v>
      </c>
      <c r="K154" s="131">
        <f t="shared" si="20"/>
        <v>1.2812100341562394</v>
      </c>
      <c r="M154" s="280"/>
    </row>
    <row r="155" spans="2:13" ht="71.25" x14ac:dyDescent="0.2">
      <c r="B155" s="7" t="s">
        <v>477</v>
      </c>
      <c r="C155" s="13" t="s">
        <v>341</v>
      </c>
      <c r="D155" s="7" t="s">
        <v>333</v>
      </c>
      <c r="E155" s="10">
        <f>MEMÓRIA!E153</f>
        <v>507.93</v>
      </c>
      <c r="F155" s="7" t="s">
        <v>340</v>
      </c>
      <c r="G155" s="10">
        <v>10.7</v>
      </c>
      <c r="H155" s="10">
        <f t="shared" si="17"/>
        <v>2.6749576043135259</v>
      </c>
      <c r="I155" s="10">
        <v>10.967465235537091</v>
      </c>
      <c r="J155" s="10">
        <f t="shared" si="18"/>
        <v>5570.704617086355</v>
      </c>
      <c r="K155" s="131">
        <f t="shared" si="20"/>
        <v>1.2431167810121646</v>
      </c>
      <c r="M155" s="280"/>
    </row>
    <row r="156" spans="2:13" ht="71.25" x14ac:dyDescent="0.2">
      <c r="B156" s="7" t="s">
        <v>478</v>
      </c>
      <c r="C156" s="13" t="s">
        <v>502</v>
      </c>
      <c r="D156" s="7" t="s">
        <v>333</v>
      </c>
      <c r="E156" s="10">
        <f>MEMÓRIA!E154</f>
        <v>2.5</v>
      </c>
      <c r="F156" s="7" t="s">
        <v>501</v>
      </c>
      <c r="G156" s="10">
        <v>17.239999999999998</v>
      </c>
      <c r="H156" s="10">
        <f t="shared" si="17"/>
        <v>4.3099316914359989</v>
      </c>
      <c r="I156" s="10">
        <v>17.67094398697752</v>
      </c>
      <c r="J156" s="10">
        <f t="shared" si="18"/>
        <v>44.177359967443799</v>
      </c>
      <c r="K156" s="131">
        <f t="shared" si="20"/>
        <v>9.8582892634267796E-3</v>
      </c>
      <c r="M156" s="280"/>
    </row>
    <row r="157" spans="2:13" ht="71.25" x14ac:dyDescent="0.2">
      <c r="B157" s="7" t="s">
        <v>479</v>
      </c>
      <c r="C157" s="13" t="s">
        <v>504</v>
      </c>
      <c r="D157" s="7" t="s">
        <v>333</v>
      </c>
      <c r="E157" s="10">
        <f>MEMÓRIA!E155</f>
        <v>17.079999999999998</v>
      </c>
      <c r="F157" s="7" t="s">
        <v>503</v>
      </c>
      <c r="G157" s="10">
        <v>14.58</v>
      </c>
      <c r="H157" s="10">
        <f t="shared" si="17"/>
        <v>3.6449422309244124</v>
      </c>
      <c r="I157" s="10">
        <v>14.944452629358018</v>
      </c>
      <c r="J157" s="10">
        <f t="shared" si="18"/>
        <v>255.25125090943493</v>
      </c>
      <c r="K157" s="131">
        <f t="shared" si="20"/>
        <v>5.6959960218789379E-2</v>
      </c>
      <c r="M157" s="280"/>
    </row>
    <row r="158" spans="2:13" ht="71.25" x14ac:dyDescent="0.2">
      <c r="B158" s="7" t="s">
        <v>480</v>
      </c>
      <c r="C158" s="13" t="s">
        <v>496</v>
      </c>
      <c r="D158" s="7" t="s">
        <v>333</v>
      </c>
      <c r="E158" s="10">
        <f>MEMÓRIA!E156</f>
        <v>5</v>
      </c>
      <c r="F158" s="7" t="s">
        <v>495</v>
      </c>
      <c r="G158" s="10">
        <v>20.99</v>
      </c>
      <c r="H158" s="10">
        <f t="shared" si="17"/>
        <v>5.2474168331346647</v>
      </c>
      <c r="I158" s="10">
        <v>21.514681803170426</v>
      </c>
      <c r="J158" s="10">
        <f t="shared" si="18"/>
        <v>107.57340901585212</v>
      </c>
      <c r="K158" s="131">
        <f t="shared" si="20"/>
        <v>2.4005277452358247E-2</v>
      </c>
      <c r="M158" s="280"/>
    </row>
    <row r="159" spans="2:13" ht="71.25" x14ac:dyDescent="0.2">
      <c r="B159" s="7" t="s">
        <v>481</v>
      </c>
      <c r="C159" s="13" t="s">
        <v>508</v>
      </c>
      <c r="D159" s="7" t="s">
        <v>333</v>
      </c>
      <c r="E159" s="10">
        <f>MEMÓRIA!E157</f>
        <v>42.81</v>
      </c>
      <c r="F159" s="7" t="s">
        <v>507</v>
      </c>
      <c r="G159" s="10">
        <v>18.38</v>
      </c>
      <c r="H159" s="10">
        <f t="shared" si="17"/>
        <v>4.5949271745123932</v>
      </c>
      <c r="I159" s="10">
        <v>18.83944028310016</v>
      </c>
      <c r="J159" s="10">
        <f t="shared" si="18"/>
        <v>806.51643851951792</v>
      </c>
      <c r="K159" s="131">
        <f t="shared" si="20"/>
        <v>0.17997617676777219</v>
      </c>
      <c r="M159" s="280"/>
    </row>
    <row r="160" spans="2:13" ht="71.25" x14ac:dyDescent="0.2">
      <c r="B160" s="7" t="s">
        <v>482</v>
      </c>
      <c r="C160" s="13" t="s">
        <v>499</v>
      </c>
      <c r="D160" s="7" t="s">
        <v>333</v>
      </c>
      <c r="E160" s="10">
        <f>MEMÓRIA!E158</f>
        <v>55.459999999999994</v>
      </c>
      <c r="F160" s="7" t="s">
        <v>498</v>
      </c>
      <c r="G160" s="10">
        <v>18.170000000000002</v>
      </c>
      <c r="H160" s="10">
        <f t="shared" si="17"/>
        <v>4.5424280065772686</v>
      </c>
      <c r="I160" s="10">
        <v>18.62419096539336</v>
      </c>
      <c r="J160" s="10">
        <f t="shared" si="18"/>
        <v>1032.8976309407155</v>
      </c>
      <c r="K160" s="131">
        <f t="shared" si="20"/>
        <v>0.23049371064332072</v>
      </c>
      <c r="M160" s="280"/>
    </row>
    <row r="161" spans="2:13" ht="71.25" x14ac:dyDescent="0.2">
      <c r="B161" s="7" t="s">
        <v>483</v>
      </c>
      <c r="C161" s="13" t="s">
        <v>342</v>
      </c>
      <c r="D161" s="7" t="s">
        <v>41</v>
      </c>
      <c r="E161" s="10">
        <f>MEMÓRIA!E159</f>
        <v>381</v>
      </c>
      <c r="F161" s="7" t="s">
        <v>343</v>
      </c>
      <c r="G161" s="10">
        <v>9.67</v>
      </c>
      <c r="H161" s="10">
        <f t="shared" si="17"/>
        <v>2.4174616853936262</v>
      </c>
      <c r="I161" s="10">
        <v>9.9117185820227736</v>
      </c>
      <c r="J161" s="10">
        <f t="shared" si="18"/>
        <v>3776.3647797506769</v>
      </c>
      <c r="K161" s="131">
        <f t="shared" si="20"/>
        <v>0.84270532214768878</v>
      </c>
      <c r="M161" s="280"/>
    </row>
    <row r="162" spans="2:13" ht="71.25" x14ac:dyDescent="0.2">
      <c r="B162" s="7" t="s">
        <v>484</v>
      </c>
      <c r="C162" s="13" t="s">
        <v>345</v>
      </c>
      <c r="D162" s="7" t="s">
        <v>41</v>
      </c>
      <c r="E162" s="10">
        <f>MEMÓRIA!E160</f>
        <v>9</v>
      </c>
      <c r="F162" s="7" t="s">
        <v>346</v>
      </c>
      <c r="G162" s="10">
        <v>6.92</v>
      </c>
      <c r="H162" s="10">
        <f t="shared" si="17"/>
        <v>1.7299725814812712</v>
      </c>
      <c r="I162" s="10">
        <v>7.0929775168146429</v>
      </c>
      <c r="J162" s="10">
        <f t="shared" si="18"/>
        <v>63.836797651331786</v>
      </c>
      <c r="K162" s="131">
        <f t="shared" si="20"/>
        <v>1.4245342350956378E-2</v>
      </c>
      <c r="M162" s="280"/>
    </row>
    <row r="163" spans="2:13" ht="42.75" x14ac:dyDescent="0.2">
      <c r="B163" s="7" t="s">
        <v>485</v>
      </c>
      <c r="C163" s="13" t="s">
        <v>512</v>
      </c>
      <c r="D163" s="7" t="s">
        <v>41</v>
      </c>
      <c r="E163" s="10">
        <f>MEMÓRIA!E161</f>
        <v>6</v>
      </c>
      <c r="F163" s="7" t="s">
        <v>511</v>
      </c>
      <c r="G163" s="10">
        <v>4.9800000000000004</v>
      </c>
      <c r="H163" s="10">
        <f t="shared" si="17"/>
        <v>1.2449802681758282</v>
      </c>
      <c r="I163" s="10">
        <v>5.1044838199041793</v>
      </c>
      <c r="J163" s="10">
        <f t="shared" si="18"/>
        <v>30.626902919425078</v>
      </c>
      <c r="K163" s="131">
        <f t="shared" si="20"/>
        <v>6.834470607684274E-3</v>
      </c>
      <c r="M163" s="280"/>
    </row>
    <row r="164" spans="2:13" ht="71.25" x14ac:dyDescent="0.2">
      <c r="B164" s="7" t="s">
        <v>486</v>
      </c>
      <c r="C164" s="13" t="s">
        <v>349</v>
      </c>
      <c r="D164" s="7" t="s">
        <v>41</v>
      </c>
      <c r="E164" s="10">
        <f>MEMÓRIA!E162</f>
        <v>107</v>
      </c>
      <c r="F164" s="7" t="s">
        <v>347</v>
      </c>
      <c r="G164" s="10">
        <v>15.05</v>
      </c>
      <c r="H164" s="10">
        <f t="shared" si="17"/>
        <v>3.7624403686839787</v>
      </c>
      <c r="I164" s="10">
        <v>15.426201102320864</v>
      </c>
      <c r="J164" s="10">
        <f t="shared" si="18"/>
        <v>1650.6035179483324</v>
      </c>
      <c r="K164" s="131">
        <f t="shared" si="20"/>
        <v>0.36833633678327882</v>
      </c>
      <c r="M164" s="280"/>
    </row>
    <row r="165" spans="2:13" ht="71.25" x14ac:dyDescent="0.2">
      <c r="B165" s="7" t="s">
        <v>487</v>
      </c>
      <c r="C165" s="13" t="s">
        <v>350</v>
      </c>
      <c r="D165" s="7" t="s">
        <v>41</v>
      </c>
      <c r="E165" s="10">
        <f>MEMÓRIA!E163</f>
        <v>135</v>
      </c>
      <c r="F165" s="7" t="s">
        <v>348</v>
      </c>
      <c r="G165" s="10">
        <v>10.84</v>
      </c>
      <c r="H165" s="10">
        <f t="shared" si="17"/>
        <v>2.7099570496036098</v>
      </c>
      <c r="I165" s="10">
        <v>11.11096478067496</v>
      </c>
      <c r="J165" s="10">
        <f t="shared" si="18"/>
        <v>1499.9802453911198</v>
      </c>
      <c r="K165" s="131">
        <f t="shared" si="20"/>
        <v>0.33472437373779002</v>
      </c>
      <c r="M165" s="280"/>
    </row>
    <row r="166" spans="2:13" ht="85.5" x14ac:dyDescent="0.2">
      <c r="B166" s="7" t="s">
        <v>488</v>
      </c>
      <c r="C166" s="13" t="s">
        <v>359</v>
      </c>
      <c r="D166" s="7" t="s">
        <v>41</v>
      </c>
      <c r="E166" s="10">
        <f>MEMÓRIA!E164</f>
        <v>105</v>
      </c>
      <c r="F166" s="7" t="s">
        <v>358</v>
      </c>
      <c r="G166" s="10">
        <v>6.16</v>
      </c>
      <c r="H166" s="10">
        <f t="shared" si="17"/>
        <v>1.5399755927636749</v>
      </c>
      <c r="I166" s="10">
        <v>6.3139799860662134</v>
      </c>
      <c r="J166" s="10">
        <f t="shared" si="18"/>
        <v>662.96789853695236</v>
      </c>
      <c r="K166" s="131">
        <f t="shared" si="20"/>
        <v>0.14794295813420974</v>
      </c>
      <c r="M166" s="280"/>
    </row>
    <row r="167" spans="2:13" ht="85.5" x14ac:dyDescent="0.2">
      <c r="B167" s="7" t="s">
        <v>491</v>
      </c>
      <c r="C167" s="13" t="s">
        <v>361</v>
      </c>
      <c r="D167" s="7" t="s">
        <v>41</v>
      </c>
      <c r="E167" s="10">
        <f>MEMÓRIA!E165</f>
        <v>50</v>
      </c>
      <c r="F167" s="7" t="s">
        <v>360</v>
      </c>
      <c r="G167" s="10">
        <v>10.47</v>
      </c>
      <c r="H167" s="10">
        <f t="shared" si="17"/>
        <v>2.6174585156226748</v>
      </c>
      <c r="I167" s="10">
        <v>10.731715982810593</v>
      </c>
      <c r="J167" s="10">
        <f t="shared" si="18"/>
        <v>536.58579914052962</v>
      </c>
      <c r="K167" s="131">
        <f t="shared" si="20"/>
        <v>0.11974047400009093</v>
      </c>
      <c r="M167" s="280"/>
    </row>
    <row r="168" spans="2:13" ht="71.25" x14ac:dyDescent="0.2">
      <c r="B168" s="7" t="s">
        <v>562</v>
      </c>
      <c r="C168" s="13" t="s">
        <v>365</v>
      </c>
      <c r="D168" s="7" t="s">
        <v>333</v>
      </c>
      <c r="E168" s="10">
        <f>MEMÓRIA!E166</f>
        <v>1406.7199999999998</v>
      </c>
      <c r="F168" s="7" t="s">
        <v>364</v>
      </c>
      <c r="G168" s="10">
        <v>3.13</v>
      </c>
      <c r="H168" s="10">
        <f t="shared" si="17"/>
        <v>0.782487598271153</v>
      </c>
      <c r="I168" s="10">
        <v>3.2082398305823459</v>
      </c>
      <c r="J168" s="10">
        <f t="shared" si="18"/>
        <v>4513.0951344767973</v>
      </c>
      <c r="K168" s="131">
        <f t="shared" si="20"/>
        <v>1.0071085583616559</v>
      </c>
      <c r="M168" s="280"/>
    </row>
    <row r="169" spans="2:13" ht="71.25" x14ac:dyDescent="0.2">
      <c r="B169" s="7" t="s">
        <v>563</v>
      </c>
      <c r="C169" s="13" t="s">
        <v>519</v>
      </c>
      <c r="D169" s="7" t="s">
        <v>333</v>
      </c>
      <c r="E169" s="10">
        <f>MEMÓRIA!E167</f>
        <v>2719.62</v>
      </c>
      <c r="F169" s="7" t="s">
        <v>518</v>
      </c>
      <c r="G169" s="10">
        <v>4.72</v>
      </c>
      <c r="H169" s="10">
        <f t="shared" si="17"/>
        <v>1.1799812983513871</v>
      </c>
      <c r="I169" s="10">
        <v>4.837984664648137</v>
      </c>
      <c r="J169" s="10">
        <f t="shared" si="18"/>
        <v>13157.479853670366</v>
      </c>
      <c r="K169" s="131">
        <f t="shared" si="20"/>
        <v>2.9361248039896859</v>
      </c>
      <c r="M169" s="280"/>
    </row>
    <row r="170" spans="2:13" ht="71.25" x14ac:dyDescent="0.2">
      <c r="B170" s="7" t="s">
        <v>564</v>
      </c>
      <c r="C170" s="13" t="s">
        <v>523</v>
      </c>
      <c r="D170" s="7" t="s">
        <v>333</v>
      </c>
      <c r="E170" s="10">
        <f>MEMÓRIA!E168</f>
        <v>359.27000000000004</v>
      </c>
      <c r="F170" s="7" t="s">
        <v>522</v>
      </c>
      <c r="G170" s="10">
        <v>7.21</v>
      </c>
      <c r="H170" s="10">
        <f t="shared" si="17"/>
        <v>1.8024714324393012</v>
      </c>
      <c r="I170" s="10">
        <v>7.3902265746002271</v>
      </c>
      <c r="J170" s="10">
        <f t="shared" si="18"/>
        <v>2655.0867014566238</v>
      </c>
      <c r="K170" s="131">
        <f t="shared" si="20"/>
        <v>0.59248929183921939</v>
      </c>
      <c r="M170" s="280"/>
    </row>
    <row r="171" spans="2:13" ht="71.25" x14ac:dyDescent="0.2">
      <c r="B171" s="7" t="s">
        <v>565</v>
      </c>
      <c r="C171" s="13" t="s">
        <v>526</v>
      </c>
      <c r="D171" s="7" t="s">
        <v>333</v>
      </c>
      <c r="E171" s="10">
        <f>MEMÓRIA!E169</f>
        <v>20</v>
      </c>
      <c r="F171" s="7" t="s">
        <v>525</v>
      </c>
      <c r="G171" s="10">
        <v>18.350000000000001</v>
      </c>
      <c r="H171" s="10">
        <f t="shared" si="17"/>
        <v>4.5874272933788047</v>
      </c>
      <c r="I171" s="10">
        <v>18.808690380570621</v>
      </c>
      <c r="J171" s="10">
        <f t="shared" si="18"/>
        <v>376.17380761141243</v>
      </c>
      <c r="K171" s="131">
        <f t="shared" si="20"/>
        <v>8.394413363521179E-2</v>
      </c>
      <c r="M171" s="280"/>
    </row>
    <row r="172" spans="2:13" ht="71.25" x14ac:dyDescent="0.2">
      <c r="B172" s="7" t="s">
        <v>566</v>
      </c>
      <c r="C172" s="13" t="s">
        <v>352</v>
      </c>
      <c r="D172" s="7" t="s">
        <v>41</v>
      </c>
      <c r="E172" s="10">
        <f>MEMÓRIA!E170</f>
        <v>27</v>
      </c>
      <c r="F172" s="7" t="s">
        <v>351</v>
      </c>
      <c r="G172" s="10">
        <v>45.74</v>
      </c>
      <c r="H172" s="10">
        <f t="shared" si="17"/>
        <v>11.43481876834586</v>
      </c>
      <c r="I172" s="10">
        <v>46.8833513900436</v>
      </c>
      <c r="J172" s="10">
        <f t="shared" si="18"/>
        <v>1265.8504875311771</v>
      </c>
      <c r="K172" s="131">
        <f t="shared" si="20"/>
        <v>0.28247772794772164</v>
      </c>
      <c r="M172" s="280"/>
    </row>
    <row r="173" spans="2:13" ht="57" x14ac:dyDescent="0.2">
      <c r="B173" s="7" t="s">
        <v>567</v>
      </c>
      <c r="C173" s="13" t="s">
        <v>354</v>
      </c>
      <c r="D173" s="7" t="s">
        <v>41</v>
      </c>
      <c r="E173" s="10">
        <f>MEMÓRIA!E171</f>
        <v>3</v>
      </c>
      <c r="F173" s="7" t="s">
        <v>353</v>
      </c>
      <c r="G173" s="10">
        <v>60.92</v>
      </c>
      <c r="H173" s="10">
        <f t="shared" si="17"/>
        <v>15.229758621942057</v>
      </c>
      <c r="I173" s="10">
        <v>62.442802069992489</v>
      </c>
      <c r="J173" s="10">
        <f t="shared" si="18"/>
        <v>187.32840620997746</v>
      </c>
      <c r="K173" s="131">
        <f t="shared" si="20"/>
        <v>4.1802806166679307E-2</v>
      </c>
      <c r="M173" s="280"/>
    </row>
    <row r="174" spans="2:13" ht="42.75" x14ac:dyDescent="0.2">
      <c r="B174" s="7" t="s">
        <v>568</v>
      </c>
      <c r="C174" s="13" t="s">
        <v>529</v>
      </c>
      <c r="D174" s="7" t="s">
        <v>41</v>
      </c>
      <c r="E174" s="10">
        <f>MEMÓRIA!E172</f>
        <v>2</v>
      </c>
      <c r="F174" s="7" t="s">
        <v>528</v>
      </c>
      <c r="G174" s="10">
        <v>72.98</v>
      </c>
      <c r="H174" s="10">
        <f t="shared" si="17"/>
        <v>18.244710837644966</v>
      </c>
      <c r="I174" s="10">
        <v>74.804262886868884</v>
      </c>
      <c r="J174" s="10">
        <f t="shared" si="18"/>
        <v>149.60852577373777</v>
      </c>
      <c r="K174" s="131">
        <f t="shared" si="20"/>
        <v>3.3385519742222106E-2</v>
      </c>
      <c r="M174" s="280"/>
    </row>
    <row r="175" spans="2:13" ht="42.75" x14ac:dyDescent="0.2">
      <c r="B175" s="7" t="s">
        <v>569</v>
      </c>
      <c r="C175" s="13" t="s">
        <v>531</v>
      </c>
      <c r="D175" s="7" t="s">
        <v>41</v>
      </c>
      <c r="E175" s="10">
        <f>MEMÓRIA!E173</f>
        <v>1</v>
      </c>
      <c r="F175" s="7" t="s">
        <v>530</v>
      </c>
      <c r="G175" s="10">
        <v>175.41</v>
      </c>
      <c r="H175" s="10">
        <f t="shared" si="17"/>
        <v>43.851804988096788</v>
      </c>
      <c r="I175" s="10">
        <v>179.79468009023938</v>
      </c>
      <c r="J175" s="10">
        <f t="shared" si="18"/>
        <v>179.79468009023938</v>
      </c>
      <c r="K175" s="131">
        <f t="shared" si="20"/>
        <v>4.0121636187881476E-2</v>
      </c>
      <c r="M175" s="280"/>
    </row>
    <row r="176" spans="2:13" ht="57" x14ac:dyDescent="0.2">
      <c r="B176" s="7" t="s">
        <v>570</v>
      </c>
      <c r="C176" s="13" t="s">
        <v>535</v>
      </c>
      <c r="D176" s="7" t="s">
        <v>41</v>
      </c>
      <c r="E176" s="10">
        <f>MEMÓRIA!E174</f>
        <v>73</v>
      </c>
      <c r="F176" s="7" t="s">
        <v>532</v>
      </c>
      <c r="G176" s="10">
        <v>11.38</v>
      </c>
      <c r="H176" s="10">
        <f t="shared" si="17"/>
        <v>2.8449549100082177</v>
      </c>
      <c r="I176" s="10">
        <v>11.664463026206739</v>
      </c>
      <c r="J176" s="10">
        <f t="shared" si="18"/>
        <v>851.505800913092</v>
      </c>
      <c r="K176" s="131">
        <f t="shared" si="20"/>
        <v>0.1900156664199342</v>
      </c>
      <c r="M176" s="280"/>
    </row>
    <row r="177" spans="2:13" ht="57" x14ac:dyDescent="0.2">
      <c r="B177" s="7" t="s">
        <v>571</v>
      </c>
      <c r="C177" s="13" t="s">
        <v>587</v>
      </c>
      <c r="D177" s="7" t="s">
        <v>41</v>
      </c>
      <c r="E177" s="10">
        <f>MEMÓRIA!E175</f>
        <v>7</v>
      </c>
      <c r="F177" s="7" t="s">
        <v>586</v>
      </c>
      <c r="G177" s="10">
        <v>51.11</v>
      </c>
      <c r="H177" s="10">
        <f t="shared" si="17"/>
        <v>12.777297491258347</v>
      </c>
      <c r="I177" s="10">
        <v>52.387583942831839</v>
      </c>
      <c r="J177" s="10">
        <f t="shared" si="18"/>
        <v>366.71308759982287</v>
      </c>
      <c r="K177" s="131">
        <f t="shared" si="20"/>
        <v>8.1832950110816677E-2</v>
      </c>
      <c r="M177" s="280"/>
    </row>
    <row r="178" spans="2:13" ht="28.5" x14ac:dyDescent="0.2">
      <c r="B178" s="7" t="s">
        <v>572</v>
      </c>
      <c r="C178" s="13" t="s">
        <v>537</v>
      </c>
      <c r="D178" s="7" t="s">
        <v>41</v>
      </c>
      <c r="E178" s="10">
        <f>MEMÓRIA!E176</f>
        <v>6</v>
      </c>
      <c r="F178" s="7" t="s">
        <v>536</v>
      </c>
      <c r="G178" s="10">
        <v>43.03</v>
      </c>
      <c r="H178" s="10">
        <f t="shared" si="17"/>
        <v>10.757329505944956</v>
      </c>
      <c r="I178" s="10">
        <v>44.105610194874863</v>
      </c>
      <c r="J178" s="10">
        <f t="shared" si="18"/>
        <v>264.63366116924919</v>
      </c>
      <c r="K178" s="131">
        <f t="shared" si="20"/>
        <v>5.9053668724629374E-2</v>
      </c>
      <c r="M178" s="280"/>
    </row>
    <row r="179" spans="2:13" ht="28.5" x14ac:dyDescent="0.2">
      <c r="B179" s="7" t="s">
        <v>573</v>
      </c>
      <c r="C179" s="13" t="s">
        <v>539</v>
      </c>
      <c r="D179" s="7" t="s">
        <v>41</v>
      </c>
      <c r="E179" s="10">
        <f>MEMÓRIA!E177</f>
        <v>2</v>
      </c>
      <c r="F179" s="7" t="s">
        <v>538</v>
      </c>
      <c r="G179" s="10">
        <v>9.0399999999999991</v>
      </c>
      <c r="H179" s="10">
        <f t="shared" si="17"/>
        <v>2.2599641815882499</v>
      </c>
      <c r="I179" s="10">
        <v>9.2659706289023642</v>
      </c>
      <c r="J179" s="10">
        <f t="shared" si="18"/>
        <v>18.531941257804728</v>
      </c>
      <c r="K179" s="131">
        <f t="shared" si="20"/>
        <v>4.1354494172333211E-3</v>
      </c>
      <c r="M179" s="280"/>
    </row>
    <row r="180" spans="2:13" ht="42.75" x14ac:dyDescent="0.2">
      <c r="B180" s="7" t="s">
        <v>574</v>
      </c>
      <c r="C180" s="13" t="s">
        <v>355</v>
      </c>
      <c r="D180" s="7" t="s">
        <v>41</v>
      </c>
      <c r="E180" s="10">
        <f>MEMÓRIA!E178</f>
        <v>4</v>
      </c>
      <c r="F180" s="7" t="s">
        <v>356</v>
      </c>
      <c r="G180" s="10">
        <v>78.81</v>
      </c>
      <c r="H180" s="10">
        <f t="shared" si="17"/>
        <v>19.702187737939159</v>
      </c>
      <c r="I180" s="10">
        <v>80.779993945110107</v>
      </c>
      <c r="J180" s="10">
        <f t="shared" si="18"/>
        <v>323.11997578044043</v>
      </c>
      <c r="K180" s="131">
        <f t="shared" si="20"/>
        <v>7.2105037294725241E-2</v>
      </c>
      <c r="M180" s="280"/>
    </row>
    <row r="181" spans="2:13" ht="57" x14ac:dyDescent="0.2">
      <c r="B181" s="7" t="s">
        <v>575</v>
      </c>
      <c r="C181" s="13" t="s">
        <v>541</v>
      </c>
      <c r="D181" s="7" t="s">
        <v>41</v>
      </c>
      <c r="E181" s="10">
        <f>MEMÓRIA!E179</f>
        <v>71</v>
      </c>
      <c r="F181" s="7" t="s">
        <v>540</v>
      </c>
      <c r="G181" s="10">
        <v>17.309999999999999</v>
      </c>
      <c r="H181" s="10">
        <f t="shared" si="17"/>
        <v>4.3274314140810404</v>
      </c>
      <c r="I181" s="10">
        <v>17.742693759546452</v>
      </c>
      <c r="J181" s="10">
        <f t="shared" si="18"/>
        <v>1259.7312569277981</v>
      </c>
      <c r="K181" s="131">
        <f t="shared" si="20"/>
        <v>0.28111220620984095</v>
      </c>
      <c r="M181" s="280"/>
    </row>
    <row r="182" spans="2:13" ht="57" x14ac:dyDescent="0.2">
      <c r="B182" s="7" t="s">
        <v>576</v>
      </c>
      <c r="C182" s="13" t="s">
        <v>363</v>
      </c>
      <c r="D182" s="7" t="s">
        <v>41</v>
      </c>
      <c r="E182" s="10">
        <f>MEMÓRIA!E180</f>
        <v>8</v>
      </c>
      <c r="F182" s="7" t="s">
        <v>362</v>
      </c>
      <c r="G182" s="10">
        <v>30.25</v>
      </c>
      <c r="H182" s="10">
        <f t="shared" si="17"/>
        <v>7.5623801430359032</v>
      </c>
      <c r="I182" s="10">
        <v>31.006151717289441</v>
      </c>
      <c r="J182" s="10">
        <f t="shared" si="18"/>
        <v>248.04921373831553</v>
      </c>
      <c r="K182" s="131">
        <f t="shared" si="20"/>
        <v>5.5352807465180523E-2</v>
      </c>
      <c r="M182" s="280"/>
    </row>
    <row r="183" spans="2:13" ht="28.5" x14ac:dyDescent="0.2">
      <c r="B183" s="7" t="s">
        <v>577</v>
      </c>
      <c r="C183" s="13" t="s">
        <v>544</v>
      </c>
      <c r="D183" s="7" t="s">
        <v>41</v>
      </c>
      <c r="E183" s="10">
        <f>MEMÓRIA!E181</f>
        <v>75</v>
      </c>
      <c r="F183" s="7" t="s">
        <v>542</v>
      </c>
      <c r="G183" s="10">
        <v>40.81</v>
      </c>
      <c r="H183" s="10">
        <f t="shared" si="17"/>
        <v>10.202338302059346</v>
      </c>
      <c r="I183" s="10">
        <v>41.830117407688668</v>
      </c>
      <c r="J183" s="10">
        <f t="shared" si="18"/>
        <v>3137.25880557665</v>
      </c>
      <c r="K183" s="131">
        <f t="shared" si="20"/>
        <v>0.70008721259938556</v>
      </c>
      <c r="M183" s="280"/>
    </row>
    <row r="184" spans="2:13" ht="99.75" x14ac:dyDescent="0.2">
      <c r="B184" s="7" t="s">
        <v>578</v>
      </c>
      <c r="C184" s="13" t="s">
        <v>546</v>
      </c>
      <c r="D184" s="7" t="s">
        <v>41</v>
      </c>
      <c r="E184" s="10">
        <f>MEMÓRIA!E182</f>
        <v>2</v>
      </c>
      <c r="F184" s="7" t="s">
        <v>545</v>
      </c>
      <c r="G184" s="10">
        <v>365.14</v>
      </c>
      <c r="H184" s="10">
        <f t="shared" si="17"/>
        <v>91.283553237293546</v>
      </c>
      <c r="I184" s="10">
        <v>374.26731365458068</v>
      </c>
      <c r="J184" s="10">
        <f t="shared" si="18"/>
        <v>748.53462730916135</v>
      </c>
      <c r="K184" s="131">
        <f t="shared" si="20"/>
        <v>0.16703738940360344</v>
      </c>
      <c r="M184" s="280"/>
    </row>
    <row r="185" spans="2:13" ht="57" x14ac:dyDescent="0.2">
      <c r="B185" s="7" t="s">
        <v>579</v>
      </c>
      <c r="C185" s="13" t="s">
        <v>548</v>
      </c>
      <c r="D185" s="7" t="s">
        <v>41</v>
      </c>
      <c r="E185" s="10">
        <f>MEMÓRIA!E183</f>
        <v>4</v>
      </c>
      <c r="F185" s="7" t="s">
        <v>547</v>
      </c>
      <c r="G185" s="10">
        <v>10.18</v>
      </c>
      <c r="H185" s="10">
        <f t="shared" si="17"/>
        <v>2.5449596646646446</v>
      </c>
      <c r="I185" s="10">
        <v>10.43446692502501</v>
      </c>
      <c r="J185" s="10">
        <f t="shared" si="18"/>
        <v>41.73786770010004</v>
      </c>
      <c r="K185" s="131">
        <f t="shared" si="20"/>
        <v>9.3139104131493844E-3</v>
      </c>
      <c r="M185" s="280"/>
    </row>
    <row r="186" spans="2:13" ht="57" x14ac:dyDescent="0.2">
      <c r="B186" s="7" t="s">
        <v>580</v>
      </c>
      <c r="C186" s="13" t="s">
        <v>551</v>
      </c>
      <c r="D186" s="7" t="s">
        <v>41</v>
      </c>
      <c r="E186" s="10">
        <f>MEMÓRIA!E184</f>
        <v>23</v>
      </c>
      <c r="F186" s="7" t="s">
        <v>549</v>
      </c>
      <c r="G186" s="10">
        <v>10.18</v>
      </c>
      <c r="H186" s="10">
        <f t="shared" si="17"/>
        <v>2.5449596646646446</v>
      </c>
      <c r="I186" s="10">
        <v>10.43446692502501</v>
      </c>
      <c r="J186" s="10">
        <f t="shared" si="18"/>
        <v>239.99273927557522</v>
      </c>
      <c r="K186" s="131">
        <f t="shared" si="20"/>
        <v>5.3554984875608967E-2</v>
      </c>
      <c r="M186" s="280"/>
    </row>
    <row r="187" spans="2:13" ht="57" x14ac:dyDescent="0.2">
      <c r="B187" s="7" t="s">
        <v>581</v>
      </c>
      <c r="C187" s="13" t="s">
        <v>553</v>
      </c>
      <c r="D187" s="7" t="s">
        <v>41</v>
      </c>
      <c r="E187" s="10">
        <f>MEMÓRIA!E185</f>
        <v>1</v>
      </c>
      <c r="F187" s="7" t="s">
        <v>552</v>
      </c>
      <c r="G187" s="10">
        <v>11.77</v>
      </c>
      <c r="H187" s="10">
        <f t="shared" si="17"/>
        <v>2.9424533647448787</v>
      </c>
      <c r="I187" s="10">
        <v>12.064211759090799</v>
      </c>
      <c r="J187" s="10">
        <f t="shared" si="18"/>
        <v>12.064211759090799</v>
      </c>
      <c r="K187" s="131">
        <f t="shared" si="20"/>
        <v>2.6921592721701436E-3</v>
      </c>
      <c r="M187" s="280"/>
    </row>
    <row r="188" spans="2:13" ht="57" x14ac:dyDescent="0.2">
      <c r="B188" s="7" t="s">
        <v>582</v>
      </c>
      <c r="C188" s="13" t="s">
        <v>555</v>
      </c>
      <c r="D188" s="7" t="s">
        <v>41</v>
      </c>
      <c r="E188" s="10">
        <f>MEMÓRIA!E186</f>
        <v>1</v>
      </c>
      <c r="F188" s="7" t="s">
        <v>554</v>
      </c>
      <c r="G188" s="10">
        <v>13.1</v>
      </c>
      <c r="H188" s="10">
        <f t="shared" si="17"/>
        <v>3.274948095000672</v>
      </c>
      <c r="I188" s="10">
        <v>13.427457437900552</v>
      </c>
      <c r="J188" s="10">
        <f t="shared" si="18"/>
        <v>13.427457437900552</v>
      </c>
      <c r="K188" s="131">
        <f t="shared" si="20"/>
        <v>2.9963709826192767E-3</v>
      </c>
      <c r="M188" s="280"/>
    </row>
    <row r="189" spans="2:13" ht="57" x14ac:dyDescent="0.2">
      <c r="B189" s="7" t="s">
        <v>583</v>
      </c>
      <c r="C189" s="13" t="s">
        <v>557</v>
      </c>
      <c r="D189" s="7" t="s">
        <v>41</v>
      </c>
      <c r="E189" s="10">
        <f>MEMÓRIA!E187</f>
        <v>2</v>
      </c>
      <c r="F189" s="7" t="s">
        <v>556</v>
      </c>
      <c r="G189" s="10">
        <v>83.48</v>
      </c>
      <c r="H189" s="10">
        <f t="shared" si="17"/>
        <v>20.869669234401233</v>
      </c>
      <c r="I189" s="10">
        <v>85.566728772209018</v>
      </c>
      <c r="J189" s="10">
        <f t="shared" si="18"/>
        <v>171.13345754441804</v>
      </c>
      <c r="K189" s="131">
        <f t="shared" si="20"/>
        <v>3.8188862538787366E-2</v>
      </c>
      <c r="M189" s="280"/>
    </row>
    <row r="190" spans="2:13" ht="28.5" x14ac:dyDescent="0.2">
      <c r="B190" s="7" t="s">
        <v>584</v>
      </c>
      <c r="C190" s="13" t="s">
        <v>559</v>
      </c>
      <c r="D190" s="7" t="s">
        <v>41</v>
      </c>
      <c r="E190" s="10">
        <f>MEMÓRIA!E188</f>
        <v>1</v>
      </c>
      <c r="F190" s="7" t="s">
        <v>558</v>
      </c>
      <c r="G190" s="10">
        <v>143.81</v>
      </c>
      <c r="H190" s="10">
        <f t="shared" si="17"/>
        <v>35.951930194049368</v>
      </c>
      <c r="I190" s="10">
        <v>147.40478275912048</v>
      </c>
      <c r="J190" s="10">
        <f t="shared" si="18"/>
        <v>147.40478275912048</v>
      </c>
      <c r="K190" s="131">
        <f t="shared" si="20"/>
        <v>3.2893748932097566E-2</v>
      </c>
      <c r="M190" s="280"/>
    </row>
    <row r="191" spans="2:13" ht="57" x14ac:dyDescent="0.2">
      <c r="B191" s="7" t="s">
        <v>585</v>
      </c>
      <c r="C191" s="13" t="s">
        <v>561</v>
      </c>
      <c r="D191" s="7" t="s">
        <v>41</v>
      </c>
      <c r="E191" s="10">
        <f>MEMÓRIA!E189</f>
        <v>2</v>
      </c>
      <c r="F191" s="7" t="s">
        <v>560</v>
      </c>
      <c r="G191" s="10">
        <v>163.72999999999999</v>
      </c>
      <c r="H191" s="10">
        <f t="shared" si="17"/>
        <v>40.931851266752673</v>
      </c>
      <c r="I191" s="10">
        <v>167.82271803873718</v>
      </c>
      <c r="J191" s="10">
        <f t="shared" si="18"/>
        <v>335.64543607747436</v>
      </c>
      <c r="K191" s="131">
        <f t="shared" si="20"/>
        <v>7.4900125341107487E-2</v>
      </c>
      <c r="M191" s="280"/>
    </row>
    <row r="192" spans="2:13" x14ac:dyDescent="0.2">
      <c r="B192" s="157" t="s">
        <v>589</v>
      </c>
      <c r="C192" s="158" t="s">
        <v>843</v>
      </c>
      <c r="D192" s="157"/>
      <c r="E192" s="159"/>
      <c r="F192" s="157"/>
      <c r="G192" s="159"/>
      <c r="H192" s="159"/>
      <c r="I192" s="160"/>
      <c r="J192" s="159">
        <f>SUM(J193:J212)</f>
        <v>1434.227421313172</v>
      </c>
      <c r="K192" s="159">
        <f>SUM(K193:K212)</f>
        <v>0.3200514652587565</v>
      </c>
      <c r="M192" s="281"/>
    </row>
    <row r="193" spans="2:13" ht="57" x14ac:dyDescent="0.2">
      <c r="B193" s="7" t="s">
        <v>590</v>
      </c>
      <c r="C193" s="32" t="s">
        <v>601</v>
      </c>
      <c r="D193" s="7" t="s">
        <v>41</v>
      </c>
      <c r="E193" s="10">
        <f>MEMÓRIA!E191</f>
        <v>21</v>
      </c>
      <c r="F193" s="7" t="s">
        <v>600</v>
      </c>
      <c r="G193" s="10">
        <v>4.5999999999999996</v>
      </c>
      <c r="H193" s="10">
        <f t="shared" si="17"/>
        <v>1.1499817738170299</v>
      </c>
      <c r="I193" s="10">
        <v>4.714985054529965</v>
      </c>
      <c r="J193" s="10">
        <f t="shared" si="18"/>
        <v>99.014686145129261</v>
      </c>
      <c r="K193" s="131">
        <f t="shared" ref="K193:K212" si="21">J193/$J$332*100</f>
        <v>2.2095376864200159E-2</v>
      </c>
      <c r="M193" s="280"/>
    </row>
    <row r="194" spans="2:13" ht="57" x14ac:dyDescent="0.2">
      <c r="B194" s="7" t="s">
        <v>591</v>
      </c>
      <c r="C194" s="32" t="s">
        <v>625</v>
      </c>
      <c r="D194" s="7" t="s">
        <v>41</v>
      </c>
      <c r="E194" s="10">
        <f>MEMÓRIA!E192</f>
        <v>2</v>
      </c>
      <c r="F194" s="7" t="s">
        <v>624</v>
      </c>
      <c r="G194" s="10">
        <v>7.26</v>
      </c>
      <c r="H194" s="10">
        <f t="shared" si="17"/>
        <v>1.8149712343286168</v>
      </c>
      <c r="I194" s="10">
        <v>7.4414764121494654</v>
      </c>
      <c r="J194" s="10">
        <f t="shared" si="18"/>
        <v>14.882952824298931</v>
      </c>
      <c r="K194" s="131">
        <f t="shared" si="21"/>
        <v>3.321168447910831E-3</v>
      </c>
      <c r="M194" s="280"/>
    </row>
    <row r="195" spans="2:13" ht="71.25" x14ac:dyDescent="0.2">
      <c r="B195" s="7" t="s">
        <v>592</v>
      </c>
      <c r="C195" s="32" t="s">
        <v>919</v>
      </c>
      <c r="D195" s="7" t="s">
        <v>41</v>
      </c>
      <c r="E195" s="10">
        <f>MEMÓRIA!E193</f>
        <v>1</v>
      </c>
      <c r="F195" s="14" t="s">
        <v>918</v>
      </c>
      <c r="G195" s="146">
        <v>6.31</v>
      </c>
      <c r="H195" s="10">
        <f t="shared" si="17"/>
        <v>1.5774749984316214</v>
      </c>
      <c r="I195" s="10">
        <v>6.4677294987139291</v>
      </c>
      <c r="J195" s="10">
        <f t="shared" si="18"/>
        <v>6.4677294987139291</v>
      </c>
      <c r="K195" s="131">
        <f t="shared" si="21"/>
        <v>1.4432901450631781E-3</v>
      </c>
      <c r="M195" s="280"/>
    </row>
    <row r="196" spans="2:13" ht="71.25" x14ac:dyDescent="0.2">
      <c r="B196" s="7" t="s">
        <v>593</v>
      </c>
      <c r="C196" s="32" t="s">
        <v>603</v>
      </c>
      <c r="D196" s="7" t="s">
        <v>41</v>
      </c>
      <c r="E196" s="10">
        <f>MEMÓRIA!E194</f>
        <v>12</v>
      </c>
      <c r="F196" s="7" t="s">
        <v>602</v>
      </c>
      <c r="G196" s="10">
        <v>5.34</v>
      </c>
      <c r="H196" s="10">
        <f t="shared" si="17"/>
        <v>1.3349788417788999</v>
      </c>
      <c r="I196" s="10">
        <v>5.4734826502586982</v>
      </c>
      <c r="J196" s="10">
        <f t="shared" si="18"/>
        <v>65.681791803104375</v>
      </c>
      <c r="K196" s="131">
        <f t="shared" si="21"/>
        <v>1.4657057447804827E-2</v>
      </c>
      <c r="M196" s="280"/>
    </row>
    <row r="197" spans="2:13" ht="71.25" x14ac:dyDescent="0.2">
      <c r="B197" s="7" t="s">
        <v>594</v>
      </c>
      <c r="C197" s="32" t="s">
        <v>622</v>
      </c>
      <c r="D197" s="7" t="s">
        <v>41</v>
      </c>
      <c r="E197" s="10">
        <f>MEMÓRIA!E195</f>
        <v>1</v>
      </c>
      <c r="F197" s="7" t="s">
        <v>621</v>
      </c>
      <c r="G197" s="10">
        <v>8.48</v>
      </c>
      <c r="H197" s="10">
        <f t="shared" si="17"/>
        <v>2.119966400427916</v>
      </c>
      <c r="I197" s="10">
        <v>8.6919724483508922</v>
      </c>
      <c r="J197" s="10">
        <f t="shared" si="18"/>
        <v>8.6919724483508922</v>
      </c>
      <c r="K197" s="131">
        <f t="shared" si="21"/>
        <v>1.939635567374921E-3</v>
      </c>
      <c r="M197" s="280"/>
    </row>
    <row r="198" spans="2:13" ht="57" x14ac:dyDescent="0.2">
      <c r="B198" s="7" t="s">
        <v>595</v>
      </c>
      <c r="C198" s="32" t="s">
        <v>371</v>
      </c>
      <c r="D198" s="7" t="s">
        <v>41</v>
      </c>
      <c r="E198" s="10">
        <f>MEMÓRIA!E196</f>
        <v>6</v>
      </c>
      <c r="F198" s="7" t="s">
        <v>370</v>
      </c>
      <c r="G198" s="10">
        <v>18.38</v>
      </c>
      <c r="H198" s="10">
        <f t="shared" si="17"/>
        <v>4.5949271745123932</v>
      </c>
      <c r="I198" s="10">
        <v>18.83944028310016</v>
      </c>
      <c r="J198" s="10">
        <f t="shared" si="18"/>
        <v>113.03664169860096</v>
      </c>
      <c r="K198" s="131">
        <f t="shared" si="21"/>
        <v>2.5224411600248377E-2</v>
      </c>
      <c r="M198" s="280"/>
    </row>
    <row r="199" spans="2:13" ht="57" x14ac:dyDescent="0.2">
      <c r="B199" s="7" t="s">
        <v>596</v>
      </c>
      <c r="C199" s="32" t="s">
        <v>614</v>
      </c>
      <c r="D199" s="7" t="s">
        <v>41</v>
      </c>
      <c r="E199" s="10">
        <f>MEMÓRIA!E197</f>
        <v>1</v>
      </c>
      <c r="F199" s="7" t="s">
        <v>613</v>
      </c>
      <c r="G199" s="10">
        <v>22.86</v>
      </c>
      <c r="H199" s="10">
        <f t="shared" si="17"/>
        <v>5.7149094237950662</v>
      </c>
      <c r="I199" s="10">
        <v>23.431425727511954</v>
      </c>
      <c r="J199" s="10">
        <f t="shared" si="18"/>
        <v>23.431425727511954</v>
      </c>
      <c r="K199" s="131">
        <f t="shared" si="21"/>
        <v>5.2287817299753172E-3</v>
      </c>
      <c r="M199" s="280"/>
    </row>
    <row r="200" spans="2:13" ht="57" x14ac:dyDescent="0.2">
      <c r="B200" s="7" t="s">
        <v>597</v>
      </c>
      <c r="C200" s="32" t="s">
        <v>373</v>
      </c>
      <c r="D200" s="7" t="s">
        <v>41</v>
      </c>
      <c r="E200" s="10">
        <f>MEMÓRIA!E198</f>
        <v>8</v>
      </c>
      <c r="F200" s="7" t="s">
        <v>372</v>
      </c>
      <c r="G200" s="10">
        <v>6.51</v>
      </c>
      <c r="H200" s="10">
        <f t="shared" si="17"/>
        <v>1.6274742059888836</v>
      </c>
      <c r="I200" s="10">
        <v>6.6727288489108849</v>
      </c>
      <c r="J200" s="10">
        <f t="shared" si="18"/>
        <v>53.381830791287079</v>
      </c>
      <c r="K200" s="131">
        <f t="shared" si="21"/>
        <v>1.1912290135481826E-2</v>
      </c>
      <c r="M200" s="280"/>
    </row>
    <row r="201" spans="2:13" ht="57" x14ac:dyDescent="0.2">
      <c r="B201" s="7" t="s">
        <v>598</v>
      </c>
      <c r="C201" s="32" t="s">
        <v>633</v>
      </c>
      <c r="D201" s="7" t="s">
        <v>41</v>
      </c>
      <c r="E201" s="10">
        <f>MEMÓRIA!E199</f>
        <v>1</v>
      </c>
      <c r="F201" s="7" t="s">
        <v>631</v>
      </c>
      <c r="G201" s="10">
        <v>10.43</v>
      </c>
      <c r="H201" s="10">
        <f t="shared" si="17"/>
        <v>2.6074586741112222</v>
      </c>
      <c r="I201" s="10">
        <v>10.690716112771202</v>
      </c>
      <c r="J201" s="10">
        <f t="shared" si="18"/>
        <v>10.690716112771202</v>
      </c>
      <c r="K201" s="131">
        <f t="shared" si="21"/>
        <v>2.3856602556274085E-3</v>
      </c>
      <c r="M201" s="280"/>
    </row>
    <row r="202" spans="2:13" ht="57" x14ac:dyDescent="0.2">
      <c r="B202" s="7" t="s">
        <v>599</v>
      </c>
      <c r="C202" s="32" t="s">
        <v>634</v>
      </c>
      <c r="D202" s="7" t="s">
        <v>41</v>
      </c>
      <c r="E202" s="10">
        <f>MEMÓRIA!E200</f>
        <v>2</v>
      </c>
      <c r="F202" s="7" t="s">
        <v>632</v>
      </c>
      <c r="G202" s="10">
        <v>17.36</v>
      </c>
      <c r="H202" s="10">
        <f t="shared" ref="H202:H268" si="22">G202*$J$12</f>
        <v>4.3399312159703562</v>
      </c>
      <c r="I202" s="10">
        <v>17.793943597095691</v>
      </c>
      <c r="J202" s="10">
        <f t="shared" ref="J202:J268" si="23">E202*I202</f>
        <v>35.587887194191381</v>
      </c>
      <c r="K202" s="131">
        <f t="shared" si="21"/>
        <v>7.9415267569878829E-3</v>
      </c>
      <c r="M202" s="280"/>
    </row>
    <row r="203" spans="2:13" ht="71.25" x14ac:dyDescent="0.2">
      <c r="B203" s="7" t="s">
        <v>796</v>
      </c>
      <c r="C203" s="32" t="s">
        <v>374</v>
      </c>
      <c r="D203" s="7" t="s">
        <v>41</v>
      </c>
      <c r="E203" s="10">
        <f>MEMÓRIA!E201</f>
        <v>20</v>
      </c>
      <c r="F203" s="7" t="s">
        <v>606</v>
      </c>
      <c r="G203" s="10">
        <v>20.28</v>
      </c>
      <c r="H203" s="10">
        <f t="shared" si="22"/>
        <v>5.069919646306384</v>
      </c>
      <c r="I203" s="10">
        <v>20.786934109971238</v>
      </c>
      <c r="J203" s="10">
        <f t="shared" si="23"/>
        <v>415.73868219942477</v>
      </c>
      <c r="K203" s="131">
        <f t="shared" si="21"/>
        <v>9.2773135156517458E-2</v>
      </c>
      <c r="M203" s="280"/>
    </row>
    <row r="204" spans="2:13" ht="71.25" x14ac:dyDescent="0.2">
      <c r="B204" s="7" t="s">
        <v>797</v>
      </c>
      <c r="C204" s="32" t="s">
        <v>627</v>
      </c>
      <c r="D204" s="7" t="s">
        <v>41</v>
      </c>
      <c r="E204" s="10">
        <f>MEMÓRIA!E202</f>
        <v>1</v>
      </c>
      <c r="F204" s="7" t="s">
        <v>626</v>
      </c>
      <c r="G204" s="10">
        <v>12.66</v>
      </c>
      <c r="H204" s="10">
        <f t="shared" si="22"/>
        <v>3.1649498383746955</v>
      </c>
      <c r="I204" s="10">
        <v>12.976458867467251</v>
      </c>
      <c r="J204" s="10">
        <f t="shared" si="23"/>
        <v>12.976458867467251</v>
      </c>
      <c r="K204" s="131">
        <f t="shared" si="21"/>
        <v>2.8957295145007663E-3</v>
      </c>
      <c r="M204" s="280"/>
    </row>
    <row r="205" spans="2:13" ht="71.25" x14ac:dyDescent="0.2">
      <c r="B205" s="7" t="s">
        <v>798</v>
      </c>
      <c r="C205" s="32" t="s">
        <v>629</v>
      </c>
      <c r="D205" s="7" t="s">
        <v>41</v>
      </c>
      <c r="E205" s="10">
        <f>MEMÓRIA!E203</f>
        <v>1</v>
      </c>
      <c r="F205" s="7" t="s">
        <v>628</v>
      </c>
      <c r="G205" s="10">
        <v>16.07</v>
      </c>
      <c r="H205" s="10">
        <f t="shared" si="22"/>
        <v>4.0174363272260152</v>
      </c>
      <c r="I205" s="10">
        <v>16.471697788325333</v>
      </c>
      <c r="J205" s="10">
        <f t="shared" si="23"/>
        <v>16.471697788325333</v>
      </c>
      <c r="K205" s="131">
        <f t="shared" si="21"/>
        <v>3.6757008924192189E-3</v>
      </c>
      <c r="M205" s="280"/>
    </row>
    <row r="206" spans="2:13" ht="71.25" x14ac:dyDescent="0.2">
      <c r="B206" s="7" t="s">
        <v>799</v>
      </c>
      <c r="C206" s="32" t="s">
        <v>616</v>
      </c>
      <c r="D206" s="7" t="s">
        <v>41</v>
      </c>
      <c r="E206" s="10">
        <f>MEMÓRIA!E204</f>
        <v>1</v>
      </c>
      <c r="F206" s="7" t="s">
        <v>615</v>
      </c>
      <c r="G206" s="10">
        <v>13.16</v>
      </c>
      <c r="H206" s="10">
        <f t="shared" si="22"/>
        <v>3.2899478572678507</v>
      </c>
      <c r="I206" s="10">
        <v>13.488957242959639</v>
      </c>
      <c r="J206" s="10">
        <f t="shared" si="23"/>
        <v>13.488957242959639</v>
      </c>
      <c r="K206" s="131">
        <f t="shared" si="21"/>
        <v>3.0100948191808916E-3</v>
      </c>
      <c r="M206" s="280"/>
    </row>
    <row r="207" spans="2:13" ht="71.25" x14ac:dyDescent="0.2">
      <c r="B207" s="7" t="s">
        <v>800</v>
      </c>
      <c r="C207" s="32" t="s">
        <v>618</v>
      </c>
      <c r="D207" s="7" t="s">
        <v>41</v>
      </c>
      <c r="E207" s="10">
        <f>MEMÓRIA!E205</f>
        <v>3</v>
      </c>
      <c r="F207" s="7" t="s">
        <v>617</v>
      </c>
      <c r="G207" s="10">
        <v>4.1900000000000004</v>
      </c>
      <c r="H207" s="10">
        <f t="shared" si="22"/>
        <v>1.0474833983246425</v>
      </c>
      <c r="I207" s="10">
        <v>4.2947363866262069</v>
      </c>
      <c r="J207" s="10">
        <f t="shared" si="23"/>
        <v>12.884209159878621</v>
      </c>
      <c r="K207" s="131">
        <f t="shared" si="21"/>
        <v>2.8751437596583442E-3</v>
      </c>
      <c r="M207" s="280"/>
    </row>
    <row r="208" spans="2:13" ht="42.75" x14ac:dyDescent="0.2">
      <c r="B208" s="7" t="s">
        <v>801</v>
      </c>
      <c r="C208" s="32" t="s">
        <v>620</v>
      </c>
      <c r="D208" s="7" t="s">
        <v>41</v>
      </c>
      <c r="E208" s="10">
        <f>MEMÓRIA!E206</f>
        <v>2</v>
      </c>
      <c r="F208" s="7" t="s">
        <v>619</v>
      </c>
      <c r="G208" s="10">
        <v>9.67</v>
      </c>
      <c r="H208" s="10">
        <f t="shared" si="22"/>
        <v>2.4174616853936262</v>
      </c>
      <c r="I208" s="10">
        <v>9.9117185820227736</v>
      </c>
      <c r="J208" s="10">
        <f t="shared" si="23"/>
        <v>19.823437164045547</v>
      </c>
      <c r="K208" s="131">
        <f t="shared" si="21"/>
        <v>4.4236499850272377E-3</v>
      </c>
      <c r="M208" s="280"/>
    </row>
    <row r="209" spans="2:13" ht="42.75" x14ac:dyDescent="0.2">
      <c r="B209" s="7" t="s">
        <v>802</v>
      </c>
      <c r="C209" s="32" t="s">
        <v>640</v>
      </c>
      <c r="D209" s="7" t="s">
        <v>333</v>
      </c>
      <c r="E209" s="10">
        <f>MEMÓRIA!E207</f>
        <v>0.15</v>
      </c>
      <c r="F209" s="7" t="s">
        <v>639</v>
      </c>
      <c r="G209" s="10">
        <v>15.87</v>
      </c>
      <c r="H209" s="10">
        <f t="shared" si="22"/>
        <v>3.967437119668753</v>
      </c>
      <c r="I209" s="10">
        <v>16.266698438128376</v>
      </c>
      <c r="J209" s="10">
        <f t="shared" si="23"/>
        <v>2.4400047657192565</v>
      </c>
      <c r="K209" s="131">
        <f t="shared" si="21"/>
        <v>5.4449321558207536E-4</v>
      </c>
      <c r="M209" s="280"/>
    </row>
    <row r="210" spans="2:13" ht="42.75" x14ac:dyDescent="0.2">
      <c r="B210" s="7" t="s">
        <v>803</v>
      </c>
      <c r="C210" s="32" t="s">
        <v>637</v>
      </c>
      <c r="D210" s="7" t="s">
        <v>333</v>
      </c>
      <c r="E210" s="10">
        <f>MEMÓRIA!E208</f>
        <v>22.17</v>
      </c>
      <c r="F210" s="7" t="s">
        <v>636</v>
      </c>
      <c r="G210" s="10">
        <v>10.34</v>
      </c>
      <c r="H210" s="10">
        <f t="shared" si="22"/>
        <v>2.5849590307104542</v>
      </c>
      <c r="I210" s="10">
        <v>10.598466405182572</v>
      </c>
      <c r="J210" s="10">
        <f t="shared" si="23"/>
        <v>234.96800020289763</v>
      </c>
      <c r="K210" s="131">
        <f t="shared" si="21"/>
        <v>5.2433701682403133E-2</v>
      </c>
      <c r="M210" s="280"/>
    </row>
    <row r="211" spans="2:13" ht="42.75" x14ac:dyDescent="0.2">
      <c r="B211" s="7" t="s">
        <v>804</v>
      </c>
      <c r="C211" s="32" t="s">
        <v>609</v>
      </c>
      <c r="D211" s="7" t="s">
        <v>333</v>
      </c>
      <c r="E211" s="10">
        <f>MEMÓRIA!E209</f>
        <v>49.17</v>
      </c>
      <c r="F211" s="7" t="s">
        <v>608</v>
      </c>
      <c r="G211" s="10">
        <v>5.16</v>
      </c>
      <c r="H211" s="10">
        <f t="shared" si="22"/>
        <v>1.2899795549773641</v>
      </c>
      <c r="I211" s="10">
        <v>5.2889832350814387</v>
      </c>
      <c r="J211" s="10">
        <f t="shared" si="23"/>
        <v>260.05930566895438</v>
      </c>
      <c r="K211" s="131">
        <f t="shared" si="21"/>
        <v>5.8032889761176459E-2</v>
      </c>
      <c r="M211" s="280"/>
    </row>
    <row r="212" spans="2:13" ht="71.25" x14ac:dyDescent="0.2">
      <c r="B212" s="7" t="s">
        <v>805</v>
      </c>
      <c r="C212" s="32" t="s">
        <v>611</v>
      </c>
      <c r="D212" s="7" t="s">
        <v>333</v>
      </c>
      <c r="E212" s="10">
        <f>MEMÓRIA!E210</f>
        <v>1.44</v>
      </c>
      <c r="F212" s="7" t="s">
        <v>610</v>
      </c>
      <c r="G212" s="10">
        <v>9.83</v>
      </c>
      <c r="H212" s="10">
        <f t="shared" si="22"/>
        <v>2.4574610514394357</v>
      </c>
      <c r="I212" s="10">
        <v>10.075718062180337</v>
      </c>
      <c r="J212" s="10">
        <f t="shared" si="23"/>
        <v>14.509034009539686</v>
      </c>
      <c r="K212" s="131">
        <f t="shared" si="21"/>
        <v>3.2377275216162122E-3</v>
      </c>
      <c r="M212" s="280"/>
    </row>
    <row r="213" spans="2:13" x14ac:dyDescent="0.2">
      <c r="B213" s="157" t="s">
        <v>642</v>
      </c>
      <c r="C213" s="170" t="s">
        <v>643</v>
      </c>
      <c r="D213" s="157"/>
      <c r="E213" s="159"/>
      <c r="F213" s="157"/>
      <c r="G213" s="159"/>
      <c r="H213" s="159"/>
      <c r="I213" s="160"/>
      <c r="J213" s="159">
        <f>SUM(J214:J236)</f>
        <v>12791.942334844249</v>
      </c>
      <c r="K213" s="159">
        <f>SUM(K214:K236)</f>
        <v>2.8545541850147451</v>
      </c>
      <c r="M213" s="281"/>
    </row>
    <row r="214" spans="2:13" ht="71.25" x14ac:dyDescent="0.2">
      <c r="B214" s="7" t="s">
        <v>675</v>
      </c>
      <c r="C214" s="32" t="s">
        <v>396</v>
      </c>
      <c r="D214" s="7" t="s">
        <v>333</v>
      </c>
      <c r="E214" s="10">
        <f>MEMÓRIA!E212</f>
        <v>62.24</v>
      </c>
      <c r="F214" s="7">
        <v>89711</v>
      </c>
      <c r="G214" s="10">
        <v>19.489999999999998</v>
      </c>
      <c r="H214" s="10">
        <f t="shared" si="22"/>
        <v>4.8724227764551982</v>
      </c>
      <c r="I214" s="10">
        <v>19.977186676693261</v>
      </c>
      <c r="J214" s="10">
        <f t="shared" si="23"/>
        <v>1243.3800987573886</v>
      </c>
      <c r="K214" s="131">
        <f t="shared" ref="K214:K236" si="24">J214/$J$332*100</f>
        <v>0.27746340403708247</v>
      </c>
      <c r="M214" s="280"/>
    </row>
    <row r="215" spans="2:13" ht="71.25" x14ac:dyDescent="0.2">
      <c r="B215" s="7" t="s">
        <v>676</v>
      </c>
      <c r="C215" s="32" t="s">
        <v>395</v>
      </c>
      <c r="D215" s="7" t="s">
        <v>333</v>
      </c>
      <c r="E215" s="10">
        <f>MEMÓRIA!E213</f>
        <v>27.35</v>
      </c>
      <c r="F215" s="7">
        <v>89712</v>
      </c>
      <c r="G215" s="10">
        <v>24.95</v>
      </c>
      <c r="H215" s="10">
        <f t="shared" si="22"/>
        <v>6.2374011427684559</v>
      </c>
      <c r="I215" s="10">
        <v>25.573668937070131</v>
      </c>
      <c r="J215" s="10">
        <f t="shared" si="23"/>
        <v>699.43984542886813</v>
      </c>
      <c r="K215" s="131">
        <f t="shared" si="24"/>
        <v>0.15608176504177085</v>
      </c>
      <c r="M215" s="280"/>
    </row>
    <row r="216" spans="2:13" ht="71.25" x14ac:dyDescent="0.2">
      <c r="B216" s="7" t="s">
        <v>677</v>
      </c>
      <c r="C216" s="32" t="s">
        <v>400</v>
      </c>
      <c r="D216" s="7" t="s">
        <v>333</v>
      </c>
      <c r="E216" s="10">
        <f>MEMÓRIA!E214</f>
        <v>81.180000000000007</v>
      </c>
      <c r="F216" s="7">
        <v>89714</v>
      </c>
      <c r="G216" s="10">
        <v>34.74</v>
      </c>
      <c r="H216" s="10">
        <f t="shared" si="22"/>
        <v>8.6848623526964399</v>
      </c>
      <c r="I216" s="10">
        <v>35.608387129211081</v>
      </c>
      <c r="J216" s="10">
        <f t="shared" si="23"/>
        <v>2890.6888671493557</v>
      </c>
      <c r="K216" s="131">
        <f t="shared" si="24"/>
        <v>0.64506450914963376</v>
      </c>
      <c r="M216" s="280"/>
    </row>
    <row r="217" spans="2:13" ht="57" x14ac:dyDescent="0.2">
      <c r="B217" s="7" t="s">
        <v>678</v>
      </c>
      <c r="C217" s="32" t="s">
        <v>380</v>
      </c>
      <c r="D217" s="7" t="s">
        <v>41</v>
      </c>
      <c r="E217" s="10">
        <f>MEMÓRIA!E215</f>
        <v>20</v>
      </c>
      <c r="F217" s="7" t="s">
        <v>384</v>
      </c>
      <c r="G217" s="10">
        <v>35.700000000000003</v>
      </c>
      <c r="H217" s="10">
        <f t="shared" si="22"/>
        <v>8.924858548971299</v>
      </c>
      <c r="I217" s="10">
        <v>36.592384010156465</v>
      </c>
      <c r="J217" s="10">
        <f t="shared" si="23"/>
        <v>731.84768020312936</v>
      </c>
      <c r="K217" s="131">
        <f t="shared" si="24"/>
        <v>0.1633136550832186</v>
      </c>
      <c r="M217" s="280"/>
    </row>
    <row r="218" spans="2:13" ht="85.5" x14ac:dyDescent="0.2">
      <c r="B218" s="7" t="s">
        <v>679</v>
      </c>
      <c r="C218" s="32" t="s">
        <v>386</v>
      </c>
      <c r="D218" s="7" t="s">
        <v>41</v>
      </c>
      <c r="E218" s="10">
        <f>MEMÓRIA!E216</f>
        <v>11</v>
      </c>
      <c r="F218" s="7">
        <v>89726</v>
      </c>
      <c r="G218" s="10">
        <v>9.15</v>
      </c>
      <c r="H218" s="10">
        <f t="shared" si="22"/>
        <v>2.2874637457447444</v>
      </c>
      <c r="I218" s="10">
        <v>9.3787202715106908</v>
      </c>
      <c r="J218" s="10">
        <f t="shared" si="23"/>
        <v>103.1659229866176</v>
      </c>
      <c r="K218" s="131">
        <f t="shared" si="24"/>
        <v>2.3021735832109175E-2</v>
      </c>
      <c r="M218" s="280"/>
    </row>
    <row r="219" spans="2:13" ht="57" x14ac:dyDescent="0.2">
      <c r="B219" s="7" t="s">
        <v>680</v>
      </c>
      <c r="C219" s="32" t="s">
        <v>657</v>
      </c>
      <c r="D219" s="7" t="s">
        <v>41</v>
      </c>
      <c r="E219" s="10">
        <f>MEMÓRIA!E217</f>
        <v>27</v>
      </c>
      <c r="F219" s="7">
        <v>89802</v>
      </c>
      <c r="G219" s="10">
        <v>10.15</v>
      </c>
      <c r="H219" s="10">
        <f t="shared" si="22"/>
        <v>2.5374597835310553</v>
      </c>
      <c r="I219" s="10">
        <v>10.403717022495465</v>
      </c>
      <c r="J219" s="10">
        <f t="shared" si="23"/>
        <v>280.90035960737754</v>
      </c>
      <c r="K219" s="131">
        <f t="shared" si="24"/>
        <v>6.2683623495176533E-2</v>
      </c>
      <c r="M219" s="280"/>
    </row>
    <row r="220" spans="2:13" ht="85.5" x14ac:dyDescent="0.2">
      <c r="B220" s="7" t="s">
        <v>681</v>
      </c>
      <c r="C220" s="32" t="s">
        <v>655</v>
      </c>
      <c r="D220" s="7" t="s">
        <v>41</v>
      </c>
      <c r="E220" s="10">
        <f>MEMÓRIA!E218</f>
        <v>20</v>
      </c>
      <c r="F220" s="7">
        <v>89746</v>
      </c>
      <c r="G220" s="10">
        <v>26.67</v>
      </c>
      <c r="H220" s="10">
        <f t="shared" si="22"/>
        <v>6.6673943277609107</v>
      </c>
      <c r="I220" s="10">
        <v>27.336663348763949</v>
      </c>
      <c r="J220" s="10">
        <f t="shared" si="23"/>
        <v>546.73326697527898</v>
      </c>
      <c r="K220" s="131">
        <f t="shared" si="24"/>
        <v>0.12200490703275742</v>
      </c>
      <c r="M220" s="280"/>
    </row>
    <row r="221" spans="2:13" ht="57" x14ac:dyDescent="0.2">
      <c r="B221" s="7" t="s">
        <v>682</v>
      </c>
      <c r="C221" s="32" t="s">
        <v>383</v>
      </c>
      <c r="D221" s="7" t="s">
        <v>41</v>
      </c>
      <c r="E221" s="10">
        <f>MEMÓRIA!E219</f>
        <v>35</v>
      </c>
      <c r="F221" s="7" t="s">
        <v>382</v>
      </c>
      <c r="G221" s="10">
        <v>16.350000000000001</v>
      </c>
      <c r="H221" s="10">
        <f t="shared" si="22"/>
        <v>4.087435217806183</v>
      </c>
      <c r="I221" s="10">
        <v>16.758696878601071</v>
      </c>
      <c r="J221" s="10">
        <f t="shared" si="23"/>
        <v>586.55439075103754</v>
      </c>
      <c r="K221" s="131">
        <f t="shared" si="24"/>
        <v>0.13089109120640313</v>
      </c>
      <c r="M221" s="280"/>
    </row>
    <row r="222" spans="2:13" ht="85.5" x14ac:dyDescent="0.2">
      <c r="B222" s="7" t="s">
        <v>683</v>
      </c>
      <c r="C222" s="32" t="s">
        <v>387</v>
      </c>
      <c r="D222" s="7" t="s">
        <v>41</v>
      </c>
      <c r="E222" s="10">
        <f>MEMÓRIA!E220</f>
        <v>26</v>
      </c>
      <c r="F222" s="7">
        <v>89731</v>
      </c>
      <c r="G222" s="10">
        <v>13.98</v>
      </c>
      <c r="H222" s="10">
        <f t="shared" si="22"/>
        <v>3.4949446082526259</v>
      </c>
      <c r="I222" s="10">
        <v>14.329454578767155</v>
      </c>
      <c r="J222" s="10">
        <f t="shared" si="23"/>
        <v>372.56581904794604</v>
      </c>
      <c r="K222" s="131">
        <f t="shared" si="24"/>
        <v>8.3139001890263714E-2</v>
      </c>
      <c r="M222" s="280"/>
    </row>
    <row r="223" spans="2:13" ht="85.5" x14ac:dyDescent="0.2">
      <c r="B223" s="7" t="s">
        <v>684</v>
      </c>
      <c r="C223" s="32" t="s">
        <v>381</v>
      </c>
      <c r="D223" s="7" t="s">
        <v>41</v>
      </c>
      <c r="E223" s="10">
        <f>MEMÓRIA!E221</f>
        <v>18</v>
      </c>
      <c r="F223" s="7">
        <v>89744</v>
      </c>
      <c r="G223" s="10">
        <v>25.86</v>
      </c>
      <c r="H223" s="10">
        <f t="shared" si="22"/>
        <v>6.4648975371539983</v>
      </c>
      <c r="I223" s="10">
        <v>26.506415980466279</v>
      </c>
      <c r="J223" s="10">
        <f t="shared" si="23"/>
        <v>477.11548764839301</v>
      </c>
      <c r="K223" s="131">
        <f t="shared" si="24"/>
        <v>0.10646952404500921</v>
      </c>
      <c r="M223" s="280"/>
    </row>
    <row r="224" spans="2:13" ht="28.5" x14ac:dyDescent="0.2">
      <c r="B224" s="7" t="s">
        <v>685</v>
      </c>
      <c r="C224" s="28" t="s">
        <v>392</v>
      </c>
      <c r="D224" s="7" t="s">
        <v>41</v>
      </c>
      <c r="E224" s="10">
        <f>MEMÓRIA!E222</f>
        <v>14</v>
      </c>
      <c r="F224" s="7" t="s">
        <v>391</v>
      </c>
      <c r="G224" s="10">
        <v>60.17</v>
      </c>
      <c r="H224" s="10">
        <f t="shared" si="22"/>
        <v>15.042261593602325</v>
      </c>
      <c r="I224" s="10">
        <v>61.674054506753905</v>
      </c>
      <c r="J224" s="10">
        <f t="shared" si="23"/>
        <v>863.43676309455464</v>
      </c>
      <c r="K224" s="131">
        <f t="shared" si="24"/>
        <v>0.19267809071288747</v>
      </c>
      <c r="M224" s="280"/>
    </row>
    <row r="225" spans="2:13" ht="57" x14ac:dyDescent="0.2">
      <c r="B225" s="7" t="s">
        <v>686</v>
      </c>
      <c r="C225" s="28" t="s">
        <v>661</v>
      </c>
      <c r="D225" s="7" t="s">
        <v>41</v>
      </c>
      <c r="E225" s="10">
        <f>MEMÓRIA!E223</f>
        <v>1</v>
      </c>
      <c r="F225" s="7">
        <v>89827</v>
      </c>
      <c r="G225" s="10">
        <v>19.05</v>
      </c>
      <c r="H225" s="10">
        <f t="shared" si="22"/>
        <v>4.7624245198292217</v>
      </c>
      <c r="I225" s="10">
        <v>19.526188106259962</v>
      </c>
      <c r="J225" s="10">
        <f t="shared" si="23"/>
        <v>19.526188106259962</v>
      </c>
      <c r="K225" s="131">
        <f t="shared" si="24"/>
        <v>4.3573181083127639E-3</v>
      </c>
      <c r="M225" s="280"/>
    </row>
    <row r="226" spans="2:13" ht="85.5" x14ac:dyDescent="0.2">
      <c r="B226" s="7" t="s">
        <v>687</v>
      </c>
      <c r="C226" s="28" t="s">
        <v>672</v>
      </c>
      <c r="D226" s="7" t="s">
        <v>41</v>
      </c>
      <c r="E226" s="10">
        <f>MEMÓRIA!E224</f>
        <v>1</v>
      </c>
      <c r="F226" s="7">
        <v>89561</v>
      </c>
      <c r="G226" s="10">
        <v>13.08</v>
      </c>
      <c r="H226" s="10">
        <f t="shared" si="22"/>
        <v>3.2699481742449459</v>
      </c>
      <c r="I226" s="10">
        <v>13.406957502880857</v>
      </c>
      <c r="J226" s="10">
        <f t="shared" si="23"/>
        <v>13.406957502880857</v>
      </c>
      <c r="K226" s="131">
        <f t="shared" si="24"/>
        <v>2.9917963704320714E-3</v>
      </c>
      <c r="M226" s="280"/>
    </row>
    <row r="227" spans="2:13" ht="85.5" x14ac:dyDescent="0.2">
      <c r="B227" s="7" t="s">
        <v>688</v>
      </c>
      <c r="C227" s="28" t="s">
        <v>659</v>
      </c>
      <c r="D227" s="7" t="s">
        <v>41</v>
      </c>
      <c r="E227" s="10">
        <f>MEMÓRIA!E225</f>
        <v>7</v>
      </c>
      <c r="F227" s="7">
        <v>89797</v>
      </c>
      <c r="G227" s="10">
        <v>48.62</v>
      </c>
      <c r="H227" s="10">
        <f t="shared" si="22"/>
        <v>12.154807357170434</v>
      </c>
      <c r="I227" s="10">
        <v>49.835342032879751</v>
      </c>
      <c r="J227" s="10">
        <f t="shared" si="23"/>
        <v>348.84739423015827</v>
      </c>
      <c r="K227" s="131">
        <f t="shared" si="24"/>
        <v>7.7846175589667513E-2</v>
      </c>
      <c r="M227" s="280"/>
    </row>
    <row r="228" spans="2:13" ht="28.5" x14ac:dyDescent="0.2">
      <c r="B228" s="7" t="s">
        <v>689</v>
      </c>
      <c r="C228" s="28" t="s">
        <v>907</v>
      </c>
      <c r="D228" s="7" t="s">
        <v>41</v>
      </c>
      <c r="E228" s="10">
        <f>MEMÓRIA!E226</f>
        <v>9</v>
      </c>
      <c r="F228" s="7" t="s">
        <v>906</v>
      </c>
      <c r="G228" s="10">
        <v>222.28</v>
      </c>
      <c r="H228" s="10">
        <f t="shared" si="22"/>
        <v>55.569119279141177</v>
      </c>
      <c r="I228" s="10">
        <v>227.83627780889577</v>
      </c>
      <c r="J228" s="10">
        <f t="shared" si="23"/>
        <v>2050.526500280062</v>
      </c>
      <c r="K228" s="131">
        <f t="shared" si="24"/>
        <v>0.45758015863736751</v>
      </c>
      <c r="M228" s="280"/>
    </row>
    <row r="229" spans="2:13" ht="71.25" x14ac:dyDescent="0.2">
      <c r="B229" s="7" t="s">
        <v>690</v>
      </c>
      <c r="C229" s="28" t="s">
        <v>653</v>
      </c>
      <c r="D229" s="7" t="s">
        <v>41</v>
      </c>
      <c r="E229" s="10">
        <f>MEMÓRIA!E227</f>
        <v>1</v>
      </c>
      <c r="F229" s="7">
        <v>98102</v>
      </c>
      <c r="G229" s="10">
        <v>228.01</v>
      </c>
      <c r="H229" s="10">
        <f t="shared" si="22"/>
        <v>57.001596575656734</v>
      </c>
      <c r="I229" s="10">
        <v>233.7095091920385</v>
      </c>
      <c r="J229" s="10">
        <f t="shared" si="23"/>
        <v>233.7095091920385</v>
      </c>
      <c r="K229" s="131">
        <f t="shared" si="24"/>
        <v>5.2152866240230626E-2</v>
      </c>
      <c r="M229" s="280"/>
    </row>
    <row r="230" spans="2:13" ht="85.5" x14ac:dyDescent="0.2">
      <c r="B230" s="7" t="s">
        <v>691</v>
      </c>
      <c r="C230" s="28" t="s">
        <v>654</v>
      </c>
      <c r="D230" s="7" t="s">
        <v>41</v>
      </c>
      <c r="E230" s="10">
        <f>MEMÓRIA!E228</f>
        <v>14</v>
      </c>
      <c r="F230" s="7">
        <v>104014</v>
      </c>
      <c r="G230" s="10">
        <v>9.5299999999999994</v>
      </c>
      <c r="H230" s="10">
        <f t="shared" si="22"/>
        <v>2.3824622401035422</v>
      </c>
      <c r="I230" s="10">
        <v>9.7682190368849042</v>
      </c>
      <c r="J230" s="10">
        <f t="shared" si="23"/>
        <v>136.75506651638867</v>
      </c>
      <c r="K230" s="131">
        <f t="shared" si="24"/>
        <v>3.0517237900844572E-2</v>
      </c>
      <c r="M230" s="280"/>
    </row>
    <row r="231" spans="2:13" ht="85.5" x14ac:dyDescent="0.2">
      <c r="B231" s="7" t="s">
        <v>692</v>
      </c>
      <c r="C231" s="28" t="s">
        <v>662</v>
      </c>
      <c r="D231" s="7" t="s">
        <v>41</v>
      </c>
      <c r="E231" s="10">
        <f>MEMÓRIA!E229</f>
        <v>41</v>
      </c>
      <c r="F231" s="7">
        <v>89778</v>
      </c>
      <c r="G231" s="10">
        <v>15.45</v>
      </c>
      <c r="H231" s="10">
        <f t="shared" si="22"/>
        <v>3.8624387837985026</v>
      </c>
      <c r="I231" s="10">
        <v>15.836199802714772</v>
      </c>
      <c r="J231" s="10">
        <f t="shared" si="23"/>
        <v>649.28419191130558</v>
      </c>
      <c r="K231" s="131">
        <f t="shared" si="24"/>
        <v>0.14488940449925042</v>
      </c>
      <c r="M231" s="280"/>
    </row>
    <row r="232" spans="2:13" ht="57" x14ac:dyDescent="0.2">
      <c r="B232" s="7" t="s">
        <v>693</v>
      </c>
      <c r="C232" s="28" t="s">
        <v>664</v>
      </c>
      <c r="D232" s="7" t="s">
        <v>41</v>
      </c>
      <c r="E232" s="10">
        <f>MEMÓRIA!E230</f>
        <v>31</v>
      </c>
      <c r="F232" s="7">
        <v>89813</v>
      </c>
      <c r="G232" s="10">
        <v>5.19</v>
      </c>
      <c r="H232" s="10">
        <f t="shared" si="22"/>
        <v>1.2974794361109534</v>
      </c>
      <c r="I232" s="10">
        <v>5.3197331376109824</v>
      </c>
      <c r="J232" s="10">
        <f t="shared" si="23"/>
        <v>164.91172726594044</v>
      </c>
      <c r="K232" s="131">
        <f t="shared" si="24"/>
        <v>3.6800467739970644E-2</v>
      </c>
      <c r="M232" s="280"/>
    </row>
    <row r="233" spans="2:13" ht="42.75" x14ac:dyDescent="0.2">
      <c r="B233" s="7" t="s">
        <v>694</v>
      </c>
      <c r="C233" s="28" t="s">
        <v>667</v>
      </c>
      <c r="D233" s="7" t="s">
        <v>41</v>
      </c>
      <c r="E233" s="10">
        <f>MEMÓRIA!E231</f>
        <v>4</v>
      </c>
      <c r="F233" s="7" t="s">
        <v>666</v>
      </c>
      <c r="G233" s="10">
        <v>49.68</v>
      </c>
      <c r="H233" s="10">
        <f t="shared" si="22"/>
        <v>12.419803157223923</v>
      </c>
      <c r="I233" s="10">
        <v>50.92183858892362</v>
      </c>
      <c r="J233" s="10">
        <f t="shared" si="23"/>
        <v>203.68735435569448</v>
      </c>
      <c r="K233" s="131">
        <f t="shared" si="24"/>
        <v>4.5453346692068901E-2</v>
      </c>
      <c r="M233" s="280"/>
    </row>
    <row r="234" spans="2:13" ht="71.25" x14ac:dyDescent="0.2">
      <c r="B234" s="7" t="s">
        <v>695</v>
      </c>
      <c r="C234" s="28" t="s">
        <v>671</v>
      </c>
      <c r="D234" s="7" t="s">
        <v>41</v>
      </c>
      <c r="E234" s="10">
        <f>MEMÓRIA!E232</f>
        <v>10</v>
      </c>
      <c r="F234" s="7">
        <v>89782</v>
      </c>
      <c r="G234" s="10">
        <v>12.99</v>
      </c>
      <c r="H234" s="10">
        <f t="shared" si="22"/>
        <v>3.2474485308441778</v>
      </c>
      <c r="I234" s="10">
        <v>13.314707795292225</v>
      </c>
      <c r="J234" s="10">
        <f t="shared" si="23"/>
        <v>133.14707795292225</v>
      </c>
      <c r="K234" s="131">
        <f t="shared" si="24"/>
        <v>2.9712106155896485E-2</v>
      </c>
      <c r="M234" s="280"/>
    </row>
    <row r="235" spans="2:13" ht="85.5" x14ac:dyDescent="0.2">
      <c r="B235" s="7" t="s">
        <v>696</v>
      </c>
      <c r="C235" s="28" t="s">
        <v>670</v>
      </c>
      <c r="D235" s="7" t="s">
        <v>41</v>
      </c>
      <c r="E235" s="10">
        <f>MEMÓRIA!E233</f>
        <v>1</v>
      </c>
      <c r="F235" s="7">
        <v>89825</v>
      </c>
      <c r="G235" s="10">
        <v>16.77</v>
      </c>
      <c r="H235" s="10">
        <f t="shared" si="22"/>
        <v>4.192433553676433</v>
      </c>
      <c r="I235" s="10">
        <v>17.189195514014674</v>
      </c>
      <c r="J235" s="10">
        <f t="shared" si="23"/>
        <v>17.189195514014674</v>
      </c>
      <c r="K235" s="131">
        <f t="shared" si="24"/>
        <v>3.8358123189713936E-3</v>
      </c>
      <c r="M235" s="280"/>
    </row>
    <row r="236" spans="2:13" ht="28.5" x14ac:dyDescent="0.2">
      <c r="B236" s="7" t="s">
        <v>697</v>
      </c>
      <c r="C236" s="28" t="s">
        <v>674</v>
      </c>
      <c r="D236" s="7" t="s">
        <v>41</v>
      </c>
      <c r="E236" s="10">
        <f>MEMÓRIA!E234</f>
        <v>1</v>
      </c>
      <c r="F236" s="7" t="s">
        <v>673</v>
      </c>
      <c r="G236" s="10">
        <v>24.51</v>
      </c>
      <c r="H236" s="10">
        <f t="shared" si="22"/>
        <v>6.1274028861424794</v>
      </c>
      <c r="I236" s="10">
        <v>25.122670366636836</v>
      </c>
      <c r="J236" s="10">
        <f t="shared" si="23"/>
        <v>25.122670366636836</v>
      </c>
      <c r="K236" s="131">
        <f t="shared" si="24"/>
        <v>5.6061872354197309E-3</v>
      </c>
      <c r="M236" s="280"/>
    </row>
    <row r="237" spans="2:13" x14ac:dyDescent="0.2">
      <c r="B237" s="157" t="s">
        <v>698</v>
      </c>
      <c r="C237" s="171" t="s">
        <v>398</v>
      </c>
      <c r="D237" s="157"/>
      <c r="E237" s="159"/>
      <c r="F237" s="157"/>
      <c r="G237" s="159"/>
      <c r="H237" s="159"/>
      <c r="I237" s="160"/>
      <c r="J237" s="159">
        <f>SUM(J238:J244)</f>
        <v>13539.786831840971</v>
      </c>
      <c r="K237" s="159">
        <f>SUM(K238:K244)</f>
        <v>3.0214375700990654</v>
      </c>
      <c r="M237" s="281"/>
    </row>
    <row r="238" spans="2:13" ht="57" x14ac:dyDescent="0.2">
      <c r="B238" s="7" t="s">
        <v>699</v>
      </c>
      <c r="C238" s="28" t="s">
        <v>910</v>
      </c>
      <c r="D238" s="7" t="s">
        <v>41</v>
      </c>
      <c r="E238" s="10">
        <f>MEMÓRIA!E236</f>
        <v>12</v>
      </c>
      <c r="F238" s="7">
        <v>86888</v>
      </c>
      <c r="G238" s="10">
        <v>502.34</v>
      </c>
      <c r="H238" s="10">
        <f t="shared" si="22"/>
        <v>125.58300962157539</v>
      </c>
      <c r="I238" s="10">
        <v>514.89686788969175</v>
      </c>
      <c r="J238" s="10">
        <f t="shared" si="23"/>
        <v>6178.762414676301</v>
      </c>
      <c r="K238" s="131">
        <f t="shared" ref="K238:K244" si="25">J238/$J$332*100</f>
        <v>1.3788064116723362</v>
      </c>
      <c r="M238" s="280"/>
    </row>
    <row r="239" spans="2:13" ht="42.75" x14ac:dyDescent="0.2">
      <c r="B239" s="7" t="s">
        <v>700</v>
      </c>
      <c r="C239" s="28" t="s">
        <v>405</v>
      </c>
      <c r="D239" s="7" t="s">
        <v>41</v>
      </c>
      <c r="E239" s="10">
        <f>MEMÓRIA!E237</f>
        <v>12</v>
      </c>
      <c r="F239" s="7">
        <v>100849</v>
      </c>
      <c r="G239" s="10">
        <v>47.61</v>
      </c>
      <c r="H239" s="10">
        <f t="shared" si="22"/>
        <v>11.90231135900626</v>
      </c>
      <c r="I239" s="10">
        <v>48.800095314385132</v>
      </c>
      <c r="J239" s="10">
        <f t="shared" si="23"/>
        <v>585.60114377262153</v>
      </c>
      <c r="K239" s="131">
        <f t="shared" si="25"/>
        <v>0.13067837173969807</v>
      </c>
      <c r="M239" s="280"/>
    </row>
    <row r="240" spans="2:13" ht="128.25" x14ac:dyDescent="0.2">
      <c r="B240" s="7" t="s">
        <v>701</v>
      </c>
      <c r="C240" s="28" t="s">
        <v>403</v>
      </c>
      <c r="D240" s="7" t="s">
        <v>41</v>
      </c>
      <c r="E240" s="10">
        <f>MEMÓRIA!E238</f>
        <v>12</v>
      </c>
      <c r="F240" s="7">
        <v>86942</v>
      </c>
      <c r="G240" s="10">
        <v>269.58999999999997</v>
      </c>
      <c r="H240" s="10">
        <f t="shared" si="22"/>
        <v>67.396431826811536</v>
      </c>
      <c r="I240" s="10">
        <v>276.32887409798542</v>
      </c>
      <c r="J240" s="10">
        <f t="shared" si="23"/>
        <v>3315.9464891758253</v>
      </c>
      <c r="K240" s="131">
        <f t="shared" si="25"/>
        <v>0.73996181972915787</v>
      </c>
      <c r="M240" s="280"/>
    </row>
    <row r="241" spans="2:13" ht="42.75" x14ac:dyDescent="0.2">
      <c r="B241" s="7" t="s">
        <v>702</v>
      </c>
      <c r="C241" s="28" t="s">
        <v>407</v>
      </c>
      <c r="D241" s="7" t="s">
        <v>41</v>
      </c>
      <c r="E241" s="10">
        <f>MEMÓRIA!E239</f>
        <v>12</v>
      </c>
      <c r="F241" s="7">
        <v>95544</v>
      </c>
      <c r="G241" s="10">
        <v>35.14</v>
      </c>
      <c r="H241" s="10">
        <f t="shared" si="22"/>
        <v>8.7848607678109634</v>
      </c>
      <c r="I241" s="10">
        <v>36.018385829604988</v>
      </c>
      <c r="J241" s="10">
        <f t="shared" si="23"/>
        <v>432.22062995525982</v>
      </c>
      <c r="K241" s="131">
        <f t="shared" si="25"/>
        <v>9.6451123355030255E-2</v>
      </c>
      <c r="M241" s="280"/>
    </row>
    <row r="242" spans="2:13" ht="42.75" x14ac:dyDescent="0.2">
      <c r="B242" s="7" t="s">
        <v>703</v>
      </c>
      <c r="C242" s="28" t="s">
        <v>409</v>
      </c>
      <c r="D242" s="7" t="s">
        <v>41</v>
      </c>
      <c r="E242" s="10">
        <f>MEMÓRIA!E240</f>
        <v>12</v>
      </c>
      <c r="F242" s="7">
        <v>95545</v>
      </c>
      <c r="G242" s="10">
        <v>34.5</v>
      </c>
      <c r="H242" s="10">
        <f t="shared" si="22"/>
        <v>8.6248633036277251</v>
      </c>
      <c r="I242" s="10">
        <v>35.362387908974739</v>
      </c>
      <c r="J242" s="10">
        <f t="shared" si="23"/>
        <v>424.34865490769687</v>
      </c>
      <c r="K242" s="131">
        <f t="shared" si="25"/>
        <v>9.4694472275143549E-2</v>
      </c>
      <c r="M242" s="280"/>
    </row>
    <row r="243" spans="2:13" ht="128.25" x14ac:dyDescent="0.2">
      <c r="B243" s="7" t="s">
        <v>704</v>
      </c>
      <c r="C243" s="28" t="s">
        <v>710</v>
      </c>
      <c r="D243" s="7" t="s">
        <v>41</v>
      </c>
      <c r="E243" s="10">
        <f>MEMÓRIA!E241</f>
        <v>1</v>
      </c>
      <c r="F243" s="7">
        <v>93442</v>
      </c>
      <c r="G243" s="10">
        <v>1325.17</v>
      </c>
      <c r="H243" s="10">
        <f t="shared" si="22"/>
        <v>331.28724939328555</v>
      </c>
      <c r="I243" s="10">
        <v>1358.2949445024942</v>
      </c>
      <c r="J243" s="10">
        <f t="shared" si="23"/>
        <v>1358.2949445024942</v>
      </c>
      <c r="K243" s="131">
        <f t="shared" si="25"/>
        <v>0.30310694160592266</v>
      </c>
      <c r="M243" s="280"/>
    </row>
    <row r="244" spans="2:13" ht="99.75" x14ac:dyDescent="0.2">
      <c r="B244" s="7" t="s">
        <v>707</v>
      </c>
      <c r="C244" s="28" t="s">
        <v>706</v>
      </c>
      <c r="D244" s="7" t="s">
        <v>41</v>
      </c>
      <c r="E244" s="10">
        <f>MEMÓRIA!E242</f>
        <v>2</v>
      </c>
      <c r="F244" s="7">
        <v>86923</v>
      </c>
      <c r="G244" s="10">
        <v>607.13</v>
      </c>
      <c r="H244" s="10">
        <f t="shared" si="22"/>
        <v>151.7800944212029</v>
      </c>
      <c r="I244" s="10">
        <v>622.30627742538638</v>
      </c>
      <c r="J244" s="10">
        <f t="shared" si="23"/>
        <v>1244.6125548507728</v>
      </c>
      <c r="K244" s="131">
        <f t="shared" si="25"/>
        <v>0.27773842972177731</v>
      </c>
      <c r="M244" s="280"/>
    </row>
    <row r="245" spans="2:13" x14ac:dyDescent="0.2">
      <c r="B245" s="157" t="s">
        <v>711</v>
      </c>
      <c r="C245" s="158" t="s">
        <v>38</v>
      </c>
      <c r="D245" s="157"/>
      <c r="E245" s="159"/>
      <c r="F245" s="157"/>
      <c r="G245" s="159"/>
      <c r="H245" s="159"/>
      <c r="I245" s="160"/>
      <c r="J245" s="159">
        <f>SUM(J246:J253)</f>
        <v>57762.374780921971</v>
      </c>
      <c r="K245" s="159">
        <f>SUM(K246:K253)</f>
        <v>12.889819571663864</v>
      </c>
      <c r="M245" s="281"/>
    </row>
    <row r="246" spans="2:13" ht="57" x14ac:dyDescent="0.2">
      <c r="B246" s="7" t="s">
        <v>712</v>
      </c>
      <c r="C246" s="29" t="s">
        <v>720</v>
      </c>
      <c r="D246" s="7" t="s">
        <v>154</v>
      </c>
      <c r="E246" s="10">
        <f>MEMÓRIA!E244</f>
        <v>1460.0899999999997</v>
      </c>
      <c r="F246" s="7" t="s">
        <v>165</v>
      </c>
      <c r="G246" s="10">
        <v>10.07</v>
      </c>
      <c r="H246" s="10">
        <f t="shared" si="22"/>
        <v>2.5174601005081505</v>
      </c>
      <c r="I246" s="10">
        <v>10.321717282416685</v>
      </c>
      <c r="J246" s="10">
        <f t="shared" si="23"/>
        <v>15070.636186883774</v>
      </c>
      <c r="K246" s="131">
        <f t="shared" ref="K246:K253" si="26">J246/$J$332*100</f>
        <v>3.3630504634875318</v>
      </c>
      <c r="M246" s="280"/>
    </row>
    <row r="247" spans="2:13" ht="42.75" x14ac:dyDescent="0.2">
      <c r="B247" s="7" t="s">
        <v>713</v>
      </c>
      <c r="C247" s="29" t="s">
        <v>416</v>
      </c>
      <c r="D247" s="7" t="s">
        <v>154</v>
      </c>
      <c r="E247" s="10">
        <f>MEMÓRIA!E245</f>
        <v>577.29999999999995</v>
      </c>
      <c r="F247" s="7" t="s">
        <v>166</v>
      </c>
      <c r="G247" s="10">
        <v>18.600000000000001</v>
      </c>
      <c r="H247" s="10">
        <f t="shared" si="22"/>
        <v>4.6499263028253823</v>
      </c>
      <c r="I247" s="10">
        <v>19.064939568316813</v>
      </c>
      <c r="J247" s="10">
        <f t="shared" si="23"/>
        <v>11006.189612789296</v>
      </c>
      <c r="K247" s="131">
        <f t="shared" si="26"/>
        <v>2.4560589625763063</v>
      </c>
      <c r="M247" s="280"/>
    </row>
    <row r="248" spans="2:13" ht="42.75" x14ac:dyDescent="0.2">
      <c r="B248" s="7" t="s">
        <v>714</v>
      </c>
      <c r="C248" s="29" t="s">
        <v>417</v>
      </c>
      <c r="D248" s="7" t="s">
        <v>154</v>
      </c>
      <c r="E248" s="10">
        <f>MEMÓRIA!E246</f>
        <v>1460.0899999999997</v>
      </c>
      <c r="F248" s="7" t="s">
        <v>168</v>
      </c>
      <c r="G248" s="10">
        <v>3.64</v>
      </c>
      <c r="H248" s="10">
        <f t="shared" si="22"/>
        <v>0.90998557754217158</v>
      </c>
      <c r="I248" s="10">
        <v>3.7309881735845809</v>
      </c>
      <c r="J248" s="10">
        <f t="shared" si="23"/>
        <v>5447.5785223691091</v>
      </c>
      <c r="K248" s="131">
        <f t="shared" si="26"/>
        <v>1.2156408825317393</v>
      </c>
      <c r="M248" s="280"/>
    </row>
    <row r="249" spans="2:13" ht="42.75" x14ac:dyDescent="0.2">
      <c r="B249" s="7" t="s">
        <v>715</v>
      </c>
      <c r="C249" s="29" t="s">
        <v>418</v>
      </c>
      <c r="D249" s="7" t="s">
        <v>154</v>
      </c>
      <c r="E249" s="10">
        <f>MEMÓRIA!E247</f>
        <v>577.29999999999995</v>
      </c>
      <c r="F249" s="7" t="s">
        <v>169</v>
      </c>
      <c r="G249" s="10">
        <v>4.49</v>
      </c>
      <c r="H249" s="10">
        <f t="shared" si="22"/>
        <v>1.1224822096605358</v>
      </c>
      <c r="I249" s="10">
        <v>4.6022354119216393</v>
      </c>
      <c r="J249" s="10">
        <f t="shared" si="23"/>
        <v>2656.8705033023621</v>
      </c>
      <c r="K249" s="131">
        <f t="shared" si="26"/>
        <v>0.59288735171868889</v>
      </c>
      <c r="M249" s="280"/>
    </row>
    <row r="250" spans="2:13" ht="57" x14ac:dyDescent="0.2">
      <c r="B250" s="7" t="s">
        <v>716</v>
      </c>
      <c r="C250" s="29" t="s">
        <v>912</v>
      </c>
      <c r="D250" s="7" t="s">
        <v>154</v>
      </c>
      <c r="E250" s="10">
        <f>MEMÓRIA!E248</f>
        <v>1460.0899999999997</v>
      </c>
      <c r="F250" s="7" t="s">
        <v>911</v>
      </c>
      <c r="G250" s="10">
        <v>8.68</v>
      </c>
      <c r="H250" s="10">
        <f t="shared" si="22"/>
        <v>2.1699656079851781</v>
      </c>
      <c r="I250" s="10">
        <v>8.8969717985478454</v>
      </c>
      <c r="J250" s="10">
        <f t="shared" si="23"/>
        <v>12990.379553341721</v>
      </c>
      <c r="K250" s="131">
        <f t="shared" si="26"/>
        <v>2.8988359506526091</v>
      </c>
      <c r="M250" s="280"/>
    </row>
    <row r="251" spans="2:13" ht="28.5" x14ac:dyDescent="0.2">
      <c r="B251" s="7" t="s">
        <v>717</v>
      </c>
      <c r="C251" s="29" t="s">
        <v>914</v>
      </c>
      <c r="D251" s="7" t="s">
        <v>154</v>
      </c>
      <c r="E251" s="10">
        <f>MEMÓRIA!E249</f>
        <v>577.29999999999995</v>
      </c>
      <c r="F251" s="130" t="s">
        <v>913</v>
      </c>
      <c r="G251" s="10">
        <v>13.89</v>
      </c>
      <c r="H251" s="10">
        <f t="shared" si="22"/>
        <v>3.4724449648518578</v>
      </c>
      <c r="I251" s="10">
        <v>14.237204871178523</v>
      </c>
      <c r="J251" s="10">
        <f t="shared" si="23"/>
        <v>8219.1383721313614</v>
      </c>
      <c r="K251" s="131">
        <f t="shared" si="26"/>
        <v>1.8341214510852095</v>
      </c>
      <c r="M251" s="280"/>
    </row>
    <row r="252" spans="2:13" ht="57" x14ac:dyDescent="0.2">
      <c r="B252" s="7" t="s">
        <v>846</v>
      </c>
      <c r="C252" s="29" t="s">
        <v>947</v>
      </c>
      <c r="D252" s="7" t="s">
        <v>154</v>
      </c>
      <c r="E252" s="10">
        <f>MEMÓRIA!E250</f>
        <v>97.65</v>
      </c>
      <c r="F252" s="130" t="s">
        <v>946</v>
      </c>
      <c r="G252" s="10">
        <v>14.79</v>
      </c>
      <c r="H252" s="10">
        <f t="shared" ref="H252" si="27">G252*$J$12</f>
        <v>3.6974413988595374</v>
      </c>
      <c r="I252" s="10">
        <v>15.159701947064821</v>
      </c>
      <c r="J252" s="10">
        <f t="shared" ref="J252" si="28">E252*I252</f>
        <v>1480.3448951308799</v>
      </c>
      <c r="K252" s="131">
        <f t="shared" si="26"/>
        <v>0.33034269581958037</v>
      </c>
      <c r="M252" s="280"/>
    </row>
    <row r="253" spans="2:13" ht="85.5" x14ac:dyDescent="0.2">
      <c r="B253" s="7" t="s">
        <v>945</v>
      </c>
      <c r="C253" s="29" t="s">
        <v>847</v>
      </c>
      <c r="D253" s="7" t="s">
        <v>154</v>
      </c>
      <c r="E253" s="10">
        <f>MEMÓRIA!E251</f>
        <v>83.605999999999995</v>
      </c>
      <c r="F253" s="130" t="s">
        <v>848</v>
      </c>
      <c r="G253" s="10">
        <v>10.4</v>
      </c>
      <c r="H253" s="10">
        <f t="shared" ref="H253" si="29">G253*$J$12</f>
        <v>2.5999587929776329</v>
      </c>
      <c r="I253" s="10">
        <v>10.659966210241659</v>
      </c>
      <c r="J253" s="10">
        <f t="shared" ref="J253" si="30">E253*I253</f>
        <v>891.23713497346409</v>
      </c>
      <c r="K253" s="131">
        <f t="shared" si="26"/>
        <v>0.19888181379219991</v>
      </c>
      <c r="M253" s="280"/>
    </row>
    <row r="254" spans="2:13" x14ac:dyDescent="0.2">
      <c r="B254" s="157" t="s">
        <v>724</v>
      </c>
      <c r="C254" s="158" t="s">
        <v>725</v>
      </c>
      <c r="D254" s="157"/>
      <c r="E254" s="159"/>
      <c r="F254" s="157"/>
      <c r="G254" s="159"/>
      <c r="H254" s="159"/>
      <c r="I254" s="160"/>
      <c r="J254" s="159">
        <f>SUM(J255:J257)</f>
        <v>3649.5570992432531</v>
      </c>
      <c r="K254" s="159">
        <f>SUM(K255:K257)</f>
        <v>0.81440786851561009</v>
      </c>
      <c r="M254" s="281"/>
    </row>
    <row r="255" spans="2:13" ht="57" x14ac:dyDescent="0.2">
      <c r="B255" s="7" t="s">
        <v>726</v>
      </c>
      <c r="C255" s="32" t="s">
        <v>728</v>
      </c>
      <c r="D255" s="7" t="s">
        <v>154</v>
      </c>
      <c r="E255" s="10">
        <f>MEMÓRIA!E253</f>
        <v>3.5388000000000002</v>
      </c>
      <c r="F255" s="7" t="s">
        <v>197</v>
      </c>
      <c r="G255" s="10">
        <f>composições!H47</f>
        <v>357.15200000000004</v>
      </c>
      <c r="H255" s="10">
        <f t="shared" si="22"/>
        <v>89.286584887456499</v>
      </c>
      <c r="I255" s="10">
        <v>366.0796396077144</v>
      </c>
      <c r="J255" s="10">
        <f t="shared" si="23"/>
        <v>1295.4826286437797</v>
      </c>
      <c r="K255" s="131">
        <f>J255/$J$332*100</f>
        <v>0.28909021495006842</v>
      </c>
      <c r="M255" s="280"/>
    </row>
    <row r="256" spans="2:13" ht="57" x14ac:dyDescent="0.2">
      <c r="B256" s="7" t="s">
        <v>730</v>
      </c>
      <c r="C256" s="32" t="s">
        <v>951</v>
      </c>
      <c r="D256" s="7" t="s">
        <v>333</v>
      </c>
      <c r="E256" s="10">
        <f>MEMÓRIA!E254</f>
        <v>13.11</v>
      </c>
      <c r="F256" s="9" t="s">
        <v>950</v>
      </c>
      <c r="G256" s="10">
        <v>100.23</v>
      </c>
      <c r="H256" s="10">
        <f t="shared" ref="H256" si="31">G256*$J$12</f>
        <v>25.057102867321937</v>
      </c>
      <c r="I256" s="10">
        <v>102.735424351204</v>
      </c>
      <c r="J256" s="10">
        <f t="shared" ref="J256" si="32">E256*I256</f>
        <v>1346.8614132442844</v>
      </c>
      <c r="K256" s="131">
        <f>J256/$J$332*100</f>
        <v>0.30055552027769189</v>
      </c>
      <c r="M256" s="280"/>
    </row>
    <row r="257" spans="2:13" ht="42.75" x14ac:dyDescent="0.2">
      <c r="B257" s="7" t="s">
        <v>922</v>
      </c>
      <c r="C257" s="32" t="s">
        <v>953</v>
      </c>
      <c r="D257" s="7" t="s">
        <v>41</v>
      </c>
      <c r="E257" s="10">
        <f>MEMÓRIA!E255</f>
        <v>5</v>
      </c>
      <c r="F257" s="130" t="s">
        <v>963</v>
      </c>
      <c r="G257" s="10">
        <v>196.53</v>
      </c>
      <c r="H257" s="10">
        <f t="shared" si="22"/>
        <v>49.131721306143675</v>
      </c>
      <c r="I257" s="10">
        <v>201.44261147103782</v>
      </c>
      <c r="J257" s="10">
        <f t="shared" si="23"/>
        <v>1007.2130573551891</v>
      </c>
      <c r="K257" s="131">
        <f>J257/$J$332*100</f>
        <v>0.22476213328784977</v>
      </c>
      <c r="M257" s="280"/>
    </row>
    <row r="258" spans="2:13" x14ac:dyDescent="0.2">
      <c r="B258" s="157" t="s">
        <v>733</v>
      </c>
      <c r="C258" s="170" t="s">
        <v>734</v>
      </c>
      <c r="D258" s="157"/>
      <c r="E258" s="159"/>
      <c r="F258" s="157"/>
      <c r="G258" s="159"/>
      <c r="H258" s="159"/>
      <c r="I258" s="160"/>
      <c r="J258" s="159">
        <f>SUM(J259:J278)</f>
        <v>29149.949431044181</v>
      </c>
      <c r="K258" s="159">
        <f>SUM(K259:K278)</f>
        <v>6.504884712831883</v>
      </c>
      <c r="M258" s="281"/>
    </row>
    <row r="259" spans="2:13" ht="71.25" x14ac:dyDescent="0.2">
      <c r="B259" s="7" t="s">
        <v>735</v>
      </c>
      <c r="C259" s="21" t="s">
        <v>764</v>
      </c>
      <c r="D259" s="7" t="s">
        <v>41</v>
      </c>
      <c r="E259" s="10">
        <f>MEMÓRIA!E257</f>
        <v>42</v>
      </c>
      <c r="F259" s="7" t="s">
        <v>348</v>
      </c>
      <c r="G259" s="10">
        <v>10.84</v>
      </c>
      <c r="H259" s="10">
        <f t="shared" si="22"/>
        <v>2.7099570496036098</v>
      </c>
      <c r="I259" s="10">
        <v>11.11096478067496</v>
      </c>
      <c r="J259" s="10">
        <f t="shared" si="23"/>
        <v>466.66052078834832</v>
      </c>
      <c r="K259" s="131">
        <f t="shared" ref="K259:K278" si="33">J259/$J$332*100</f>
        <v>0.10413647182953467</v>
      </c>
      <c r="M259" s="280"/>
    </row>
    <row r="260" spans="2:13" ht="57" x14ac:dyDescent="0.2">
      <c r="B260" s="7" t="s">
        <v>740</v>
      </c>
      <c r="C260" s="126" t="s">
        <v>765</v>
      </c>
      <c r="D260" s="7" t="s">
        <v>41</v>
      </c>
      <c r="E260" s="10">
        <f>MEMÓRIA!E258</f>
        <v>3</v>
      </c>
      <c r="F260" s="7" t="s">
        <v>766</v>
      </c>
      <c r="G260" s="10">
        <v>34.53</v>
      </c>
      <c r="H260" s="10">
        <f t="shared" si="22"/>
        <v>8.6323631847613136</v>
      </c>
      <c r="I260" s="10">
        <v>35.393137811504282</v>
      </c>
      <c r="J260" s="10">
        <f t="shared" si="23"/>
        <v>106.17941343451284</v>
      </c>
      <c r="K260" s="131">
        <f t="shared" si="33"/>
        <v>2.3694203823628308E-2</v>
      </c>
      <c r="M260" s="280"/>
    </row>
    <row r="261" spans="2:13" ht="71.25" x14ac:dyDescent="0.2">
      <c r="B261" s="7" t="s">
        <v>741</v>
      </c>
      <c r="C261" s="21" t="s">
        <v>336</v>
      </c>
      <c r="D261" s="7" t="s">
        <v>333</v>
      </c>
      <c r="E261" s="10">
        <f>MEMÓRIA!E259</f>
        <v>153.5</v>
      </c>
      <c r="F261" s="7" t="s">
        <v>335</v>
      </c>
      <c r="G261" s="10">
        <v>13.35</v>
      </c>
      <c r="H261" s="10">
        <f t="shared" si="22"/>
        <v>3.33744710444725</v>
      </c>
      <c r="I261" s="10">
        <v>13.683706625646746</v>
      </c>
      <c r="J261" s="10">
        <f t="shared" si="23"/>
        <v>2100.4489670367757</v>
      </c>
      <c r="K261" s="131">
        <f t="shared" si="33"/>
        <v>0.46872048296625857</v>
      </c>
      <c r="M261" s="280"/>
    </row>
    <row r="262" spans="2:13" ht="71.25" x14ac:dyDescent="0.2">
      <c r="B262" s="7" t="s">
        <v>746</v>
      </c>
      <c r="C262" s="126" t="s">
        <v>770</v>
      </c>
      <c r="D262" s="7" t="s">
        <v>333</v>
      </c>
      <c r="E262" s="10">
        <f>MEMÓRIA!E260</f>
        <v>8.7099999999999991</v>
      </c>
      <c r="F262" s="7" t="s">
        <v>768</v>
      </c>
      <c r="G262" s="10">
        <v>38.18</v>
      </c>
      <c r="H262" s="10">
        <f t="shared" si="22"/>
        <v>9.5448487226813477</v>
      </c>
      <c r="I262" s="10">
        <v>39.134375952598702</v>
      </c>
      <c r="J262" s="10">
        <f t="shared" si="23"/>
        <v>340.86041454713467</v>
      </c>
      <c r="K262" s="131">
        <f t="shared" si="33"/>
        <v>7.6063860935410565E-2</v>
      </c>
      <c r="M262" s="280"/>
    </row>
    <row r="263" spans="2:13" ht="71.25" x14ac:dyDescent="0.2">
      <c r="B263" s="7" t="s">
        <v>747</v>
      </c>
      <c r="C263" s="126" t="s">
        <v>772</v>
      </c>
      <c r="D263" s="7" t="s">
        <v>333</v>
      </c>
      <c r="E263" s="10">
        <f>MEMÓRIA!E261</f>
        <v>1</v>
      </c>
      <c r="F263" s="7" t="s">
        <v>769</v>
      </c>
      <c r="G263" s="10">
        <v>27.23</v>
      </c>
      <c r="H263" s="10">
        <f t="shared" si="22"/>
        <v>6.8073921089212446</v>
      </c>
      <c r="I263" s="10">
        <v>27.910661529315423</v>
      </c>
      <c r="J263" s="10">
        <f t="shared" si="23"/>
        <v>27.910661529315423</v>
      </c>
      <c r="K263" s="131">
        <f t="shared" si="33"/>
        <v>6.2283344928796107E-3</v>
      </c>
      <c r="M263" s="280"/>
    </row>
    <row r="264" spans="2:13" ht="71.25" x14ac:dyDescent="0.2">
      <c r="B264" s="7" t="s">
        <v>752</v>
      </c>
      <c r="C264" s="126" t="s">
        <v>774</v>
      </c>
      <c r="D264" s="7" t="s">
        <v>333</v>
      </c>
      <c r="E264" s="10">
        <f>MEMÓRIA!E262</f>
        <v>92.1</v>
      </c>
      <c r="F264" s="7" t="s">
        <v>773</v>
      </c>
      <c r="G264" s="10">
        <v>9.6</v>
      </c>
      <c r="H264" s="10">
        <f t="shared" si="22"/>
        <v>2.3999619627485842</v>
      </c>
      <c r="I264" s="10">
        <v>9.8399688094538398</v>
      </c>
      <c r="J264" s="10">
        <f t="shared" si="23"/>
        <v>906.26112735069864</v>
      </c>
      <c r="K264" s="131">
        <f t="shared" si="33"/>
        <v>0.20223445557195877</v>
      </c>
      <c r="M264" s="280"/>
    </row>
    <row r="265" spans="2:13" ht="71.25" x14ac:dyDescent="0.2">
      <c r="B265" s="7" t="s">
        <v>753</v>
      </c>
      <c r="C265" s="13" t="s">
        <v>342</v>
      </c>
      <c r="D265" s="7" t="s">
        <v>41</v>
      </c>
      <c r="E265" s="10">
        <f>MEMÓRIA!E263</f>
        <v>84</v>
      </c>
      <c r="F265" s="7" t="s">
        <v>343</v>
      </c>
      <c r="G265" s="10">
        <v>9.67</v>
      </c>
      <c r="H265" s="10">
        <f t="shared" si="22"/>
        <v>2.4174616853936262</v>
      </c>
      <c r="I265" s="10">
        <v>9.9117185820227736</v>
      </c>
      <c r="J265" s="10">
        <f t="shared" si="23"/>
        <v>832.584360889913</v>
      </c>
      <c r="K265" s="131">
        <f t="shared" si="33"/>
        <v>0.18579329937114397</v>
      </c>
      <c r="M265" s="280"/>
    </row>
    <row r="266" spans="2:13" ht="71.25" x14ac:dyDescent="0.2">
      <c r="B266" s="7" t="s">
        <v>754</v>
      </c>
      <c r="C266" s="126" t="s">
        <v>777</v>
      </c>
      <c r="D266" s="7" t="s">
        <v>41</v>
      </c>
      <c r="E266" s="10">
        <f>MEMÓRIA!E264</f>
        <v>6</v>
      </c>
      <c r="F266" s="7" t="s">
        <v>778</v>
      </c>
      <c r="G266" s="10">
        <v>20.59</v>
      </c>
      <c r="H266" s="10">
        <f t="shared" si="22"/>
        <v>5.1474184180201403</v>
      </c>
      <c r="I266" s="10">
        <v>21.104683102776516</v>
      </c>
      <c r="J266" s="10">
        <f t="shared" si="23"/>
        <v>126.62809861665909</v>
      </c>
      <c r="K266" s="131">
        <f t="shared" si="33"/>
        <v>2.8257379480365295E-2</v>
      </c>
      <c r="M266" s="280"/>
    </row>
    <row r="267" spans="2:13" ht="85.5" x14ac:dyDescent="0.2">
      <c r="B267" s="7" t="s">
        <v>755</v>
      </c>
      <c r="C267" s="126" t="s">
        <v>780</v>
      </c>
      <c r="D267" s="7" t="s">
        <v>333</v>
      </c>
      <c r="E267" s="10">
        <f>MEMÓRIA!E265</f>
        <v>60.599999999999994</v>
      </c>
      <c r="F267" s="7" t="s">
        <v>779</v>
      </c>
      <c r="G267" s="10">
        <v>91.68</v>
      </c>
      <c r="H267" s="10">
        <f t="shared" si="22"/>
        <v>22.919636744248979</v>
      </c>
      <c r="I267" s="10">
        <v>93.971702130284172</v>
      </c>
      <c r="J267" s="10">
        <f t="shared" si="23"/>
        <v>5694.6851490952204</v>
      </c>
      <c r="K267" s="131">
        <f t="shared" si="33"/>
        <v>1.2707833493285523</v>
      </c>
      <c r="M267" s="280"/>
    </row>
    <row r="268" spans="2:13" ht="28.5" x14ac:dyDescent="0.2">
      <c r="B268" s="7" t="s">
        <v>756</v>
      </c>
      <c r="C268" s="126" t="s">
        <v>783</v>
      </c>
      <c r="D268" s="7" t="s">
        <v>41</v>
      </c>
      <c r="E268" s="10">
        <f>MEMÓRIA!E266</f>
        <v>1</v>
      </c>
      <c r="F268" s="7" t="s">
        <v>782</v>
      </c>
      <c r="G268" s="10">
        <v>632.5</v>
      </c>
      <c r="H268" s="10">
        <f t="shared" si="22"/>
        <v>158.12249389984163</v>
      </c>
      <c r="I268" s="10">
        <v>648.31044499787015</v>
      </c>
      <c r="J268" s="10">
        <f t="shared" si="23"/>
        <v>648.31044499787015</v>
      </c>
      <c r="K268" s="131">
        <f t="shared" si="33"/>
        <v>0.14467211042035819</v>
      </c>
      <c r="M268" s="280"/>
    </row>
    <row r="269" spans="2:13" ht="42.75" x14ac:dyDescent="0.2">
      <c r="B269" s="7" t="s">
        <v>757</v>
      </c>
      <c r="C269" s="21" t="s">
        <v>784</v>
      </c>
      <c r="D269" s="7" t="s">
        <v>41</v>
      </c>
      <c r="E269" s="10">
        <f>MEMÓRIA!E267</f>
        <v>42</v>
      </c>
      <c r="F269" s="7" t="s">
        <v>358</v>
      </c>
      <c r="G269" s="10">
        <v>6.16</v>
      </c>
      <c r="H269" s="10">
        <f t="shared" ref="H269:H289" si="34">G269*$J$12</f>
        <v>1.5399755927636749</v>
      </c>
      <c r="I269" s="10">
        <v>6.3139799860662134</v>
      </c>
      <c r="J269" s="10">
        <f t="shared" ref="J269:J289" si="35">E269*I269</f>
        <v>265.18715941478098</v>
      </c>
      <c r="K269" s="131">
        <f t="shared" si="33"/>
        <v>5.9177183253683908E-2</v>
      </c>
      <c r="M269" s="280"/>
    </row>
    <row r="270" spans="2:13" ht="28.5" x14ac:dyDescent="0.2">
      <c r="B270" s="7" t="s">
        <v>758</v>
      </c>
      <c r="C270" s="32" t="s">
        <v>737</v>
      </c>
      <c r="D270" s="7" t="s">
        <v>41</v>
      </c>
      <c r="E270" s="10">
        <f>MEMÓRIA!E268</f>
        <v>3</v>
      </c>
      <c r="F270" s="7" t="s">
        <v>736</v>
      </c>
      <c r="G270" s="10">
        <v>447.66</v>
      </c>
      <c r="H270" s="10">
        <f t="shared" si="34"/>
        <v>111.91322627541992</v>
      </c>
      <c r="I270" s="10">
        <v>458.85004554584441</v>
      </c>
      <c r="J270" s="10">
        <f t="shared" si="35"/>
        <v>1376.5501366375333</v>
      </c>
      <c r="K270" s="131">
        <f t="shared" si="33"/>
        <v>0.30718063375862875</v>
      </c>
      <c r="M270" s="280"/>
    </row>
    <row r="271" spans="2:13" ht="28.5" x14ac:dyDescent="0.2">
      <c r="B271" s="7" t="s">
        <v>759</v>
      </c>
      <c r="C271" s="126" t="s">
        <v>739</v>
      </c>
      <c r="D271" s="7" t="s">
        <v>41</v>
      </c>
      <c r="E271" s="10">
        <f>MEMÓRIA!E269</f>
        <v>3</v>
      </c>
      <c r="F271" s="7" t="s">
        <v>738</v>
      </c>
      <c r="G271" s="10">
        <v>32.42</v>
      </c>
      <c r="H271" s="10">
        <f t="shared" si="34"/>
        <v>8.1048715450321982</v>
      </c>
      <c r="I271" s="10">
        <v>33.230394666926401</v>
      </c>
      <c r="J271" s="10">
        <f t="shared" si="35"/>
        <v>99.691184000779202</v>
      </c>
      <c r="K271" s="131">
        <f t="shared" si="33"/>
        <v>2.2246339066377924E-2</v>
      </c>
      <c r="M271" s="280"/>
    </row>
    <row r="272" spans="2:13" x14ac:dyDescent="0.2">
      <c r="B272" s="7" t="s">
        <v>760</v>
      </c>
      <c r="C272" s="32" t="s">
        <v>742</v>
      </c>
      <c r="D272" s="7" t="s">
        <v>41</v>
      </c>
      <c r="E272" s="10">
        <f>MEMÓRIA!E270</f>
        <v>3</v>
      </c>
      <c r="F272" s="7" t="s">
        <v>743</v>
      </c>
      <c r="G272" s="10">
        <v>2089.0300000000002</v>
      </c>
      <c r="H272" s="10">
        <f t="shared" si="34"/>
        <v>522.24922281673696</v>
      </c>
      <c r="I272" s="10">
        <v>2141.2489627097248</v>
      </c>
      <c r="J272" s="10">
        <f t="shared" si="35"/>
        <v>6423.7468881291743</v>
      </c>
      <c r="K272" s="131">
        <f t="shared" si="33"/>
        <v>1.4334753146155301</v>
      </c>
      <c r="M272" s="280"/>
    </row>
    <row r="273" spans="2:13" x14ac:dyDescent="0.2">
      <c r="B273" s="7" t="s">
        <v>761</v>
      </c>
      <c r="C273" s="32" t="s">
        <v>745</v>
      </c>
      <c r="D273" s="7" t="s">
        <v>41</v>
      </c>
      <c r="E273" s="10">
        <f>MEMÓRIA!E271</f>
        <v>1</v>
      </c>
      <c r="F273" s="7" t="s">
        <v>744</v>
      </c>
      <c r="G273" s="10">
        <v>478.59</v>
      </c>
      <c r="H273" s="10">
        <f t="shared" si="34"/>
        <v>119.6456037241505</v>
      </c>
      <c r="I273" s="10">
        <v>490.55319505380339</v>
      </c>
      <c r="J273" s="10">
        <f t="shared" si="35"/>
        <v>490.55319505380339</v>
      </c>
      <c r="K273" s="131">
        <f t="shared" si="33"/>
        <v>0.1094681823337221</v>
      </c>
      <c r="M273" s="280"/>
    </row>
    <row r="274" spans="2:13" ht="42.75" x14ac:dyDescent="0.2">
      <c r="B274" s="7" t="s">
        <v>762</v>
      </c>
      <c r="C274" s="126" t="s">
        <v>749</v>
      </c>
      <c r="D274" s="7" t="s">
        <v>41</v>
      </c>
      <c r="E274" s="10">
        <f>MEMÓRIA!E272</f>
        <v>1</v>
      </c>
      <c r="F274" s="7" t="s">
        <v>748</v>
      </c>
      <c r="G274" s="10">
        <v>450.98</v>
      </c>
      <c r="H274" s="10">
        <f t="shared" si="34"/>
        <v>112.74321312087048</v>
      </c>
      <c r="I274" s="10">
        <v>462.2530347591138</v>
      </c>
      <c r="J274" s="10">
        <f t="shared" si="35"/>
        <v>462.2530347591138</v>
      </c>
      <c r="K274" s="131">
        <f t="shared" si="33"/>
        <v>0.10315293020928559</v>
      </c>
      <c r="M274" s="280"/>
    </row>
    <row r="275" spans="2:13" ht="42.75" x14ac:dyDescent="0.2">
      <c r="B275" s="7" t="s">
        <v>787</v>
      </c>
      <c r="C275" s="126" t="s">
        <v>751</v>
      </c>
      <c r="D275" s="7" t="s">
        <v>41</v>
      </c>
      <c r="E275" s="10">
        <f>MEMÓRIA!E273</f>
        <v>1</v>
      </c>
      <c r="F275" s="7" t="s">
        <v>750</v>
      </c>
      <c r="G275" s="10">
        <v>130.51</v>
      </c>
      <c r="H275" s="10">
        <f t="shared" si="34"/>
        <v>32.62698289149143</v>
      </c>
      <c r="I275" s="10">
        <v>133.77232597102295</v>
      </c>
      <c r="J275" s="10">
        <f t="shared" si="35"/>
        <v>133.77232597102295</v>
      </c>
      <c r="K275" s="131">
        <f t="shared" si="33"/>
        <v>2.9851631827606237E-2</v>
      </c>
      <c r="M275" s="280"/>
    </row>
    <row r="276" spans="2:13" ht="42.75" x14ac:dyDescent="0.2">
      <c r="B276" s="7" t="s">
        <v>790</v>
      </c>
      <c r="C276" s="32" t="s">
        <v>786</v>
      </c>
      <c r="D276" s="7" t="s">
        <v>41</v>
      </c>
      <c r="E276" s="10">
        <f>MEMÓRIA!E274</f>
        <v>2</v>
      </c>
      <c r="F276" s="7" t="s">
        <v>785</v>
      </c>
      <c r="G276" s="10">
        <v>45.66</v>
      </c>
      <c r="H276" s="10">
        <f t="shared" si="34"/>
        <v>11.414819085322952</v>
      </c>
      <c r="I276" s="10">
        <v>46.801351649964822</v>
      </c>
      <c r="J276" s="10">
        <f t="shared" si="35"/>
        <v>93.602703299929644</v>
      </c>
      <c r="K276" s="131">
        <f t="shared" si="33"/>
        <v>2.0887679246778042E-2</v>
      </c>
      <c r="M276" s="280"/>
    </row>
    <row r="277" spans="2:13" ht="71.25" x14ac:dyDescent="0.2">
      <c r="B277" s="7" t="s">
        <v>793</v>
      </c>
      <c r="C277" s="32" t="s">
        <v>789</v>
      </c>
      <c r="D277" s="7" t="s">
        <v>41</v>
      </c>
      <c r="E277" s="10">
        <f>MEMÓRIA!E275</f>
        <v>42</v>
      </c>
      <c r="F277" s="7" t="s">
        <v>788</v>
      </c>
      <c r="G277" s="10">
        <v>65.03</v>
      </c>
      <c r="H277" s="10">
        <f t="shared" si="34"/>
        <v>16.257242337243795</v>
      </c>
      <c r="I277" s="10">
        <v>66.655538716539908</v>
      </c>
      <c r="J277" s="10">
        <f t="shared" si="35"/>
        <v>2799.5326260946763</v>
      </c>
      <c r="K277" s="131">
        <f t="shared" si="33"/>
        <v>0.6247227641212767</v>
      </c>
      <c r="M277" s="280"/>
    </row>
    <row r="278" spans="2:13" x14ac:dyDescent="0.2">
      <c r="B278" s="7" t="s">
        <v>915</v>
      </c>
      <c r="C278" s="32" t="s">
        <v>792</v>
      </c>
      <c r="D278" s="7" t="s">
        <v>333</v>
      </c>
      <c r="E278" s="10">
        <f>MEMÓRIA!E276</f>
        <v>1787.96</v>
      </c>
      <c r="F278" s="7" t="s">
        <v>791</v>
      </c>
      <c r="G278" s="10">
        <v>3.14</v>
      </c>
      <c r="H278" s="10">
        <f t="shared" si="34"/>
        <v>0.78498755864901615</v>
      </c>
      <c r="I278" s="10">
        <v>3.2184897980921932</v>
      </c>
      <c r="J278" s="10">
        <f t="shared" si="35"/>
        <v>5754.5310193969181</v>
      </c>
      <c r="K278" s="131">
        <f t="shared" si="33"/>
        <v>1.2841381061789039</v>
      </c>
      <c r="M278" s="280"/>
    </row>
    <row r="279" spans="2:13" x14ac:dyDescent="0.2">
      <c r="B279" s="7"/>
      <c r="C279" s="32"/>
      <c r="D279" s="7"/>
      <c r="E279" s="10"/>
      <c r="F279" s="7"/>
      <c r="G279" s="10"/>
      <c r="H279" s="10"/>
      <c r="I279" s="10"/>
      <c r="J279" s="10"/>
      <c r="K279" s="131"/>
      <c r="M279" s="280"/>
    </row>
    <row r="280" spans="2:13" x14ac:dyDescent="0.2">
      <c r="B280" s="161">
        <v>4</v>
      </c>
      <c r="C280" s="169" t="s">
        <v>830</v>
      </c>
      <c r="D280" s="161"/>
      <c r="E280" s="163"/>
      <c r="F280" s="161"/>
      <c r="G280" s="163"/>
      <c r="H280" s="163"/>
      <c r="I280" s="164"/>
      <c r="J280" s="163">
        <f>J281</f>
        <v>5402.6952311183886</v>
      </c>
      <c r="K280" s="163">
        <f>K281</f>
        <v>1.2056250629225478</v>
      </c>
      <c r="M280" s="281"/>
    </row>
    <row r="281" spans="2:13" x14ac:dyDescent="0.2">
      <c r="B281" s="157" t="s">
        <v>34</v>
      </c>
      <c r="C281" s="170" t="s">
        <v>831</v>
      </c>
      <c r="D281" s="157"/>
      <c r="E281" s="159"/>
      <c r="F281" s="157"/>
      <c r="G281" s="159"/>
      <c r="H281" s="159"/>
      <c r="I281" s="160"/>
      <c r="J281" s="159">
        <f>SUM(J282:J289)</f>
        <v>5402.6952311183886</v>
      </c>
      <c r="K281" s="159">
        <f>SUM(K282:K289)</f>
        <v>1.2056250629225478</v>
      </c>
      <c r="M281" s="281"/>
    </row>
    <row r="282" spans="2:13" ht="71.25" x14ac:dyDescent="0.2">
      <c r="B282" s="7" t="s">
        <v>795</v>
      </c>
      <c r="C282" s="21" t="s">
        <v>957</v>
      </c>
      <c r="D282" s="7" t="s">
        <v>191</v>
      </c>
      <c r="E282" s="10">
        <f>MEMÓRIA!E280</f>
        <v>6.8800000000000014E-2</v>
      </c>
      <c r="F282" s="7" t="s">
        <v>210</v>
      </c>
      <c r="G282" s="10">
        <v>2461.61</v>
      </c>
      <c r="H282" s="10">
        <f t="shared" si="34"/>
        <v>615.39274657516069</v>
      </c>
      <c r="I282" s="10">
        <v>2523.142252191632</v>
      </c>
      <c r="J282" s="10">
        <f t="shared" si="35"/>
        <v>173.59218695078431</v>
      </c>
      <c r="K282" s="131">
        <f t="shared" ref="K282:K289" si="36">J282/$J$332*100</f>
        <v>3.8737534205141234E-2</v>
      </c>
      <c r="M282" s="280"/>
    </row>
    <row r="283" spans="2:13" ht="57" x14ac:dyDescent="0.2">
      <c r="B283" s="7" t="s">
        <v>806</v>
      </c>
      <c r="C283" s="126" t="s">
        <v>955</v>
      </c>
      <c r="D283" s="7" t="s">
        <v>191</v>
      </c>
      <c r="E283" s="10">
        <f>MEMÓRIA!E281</f>
        <v>0.52440000000000009</v>
      </c>
      <c r="F283" s="9" t="s">
        <v>197</v>
      </c>
      <c r="G283" s="10">
        <f>composições!H18</f>
        <v>655.38589999999999</v>
      </c>
      <c r="H283" s="10">
        <f t="shared" si="34"/>
        <v>163.84387822101536</v>
      </c>
      <c r="I283" s="10">
        <v>671.76841814123259</v>
      </c>
      <c r="J283" s="10">
        <f t="shared" si="35"/>
        <v>352.27535847326243</v>
      </c>
      <c r="K283" s="131">
        <f t="shared" si="36"/>
        <v>7.8611134453622014E-2</v>
      </c>
      <c r="M283" s="280"/>
    </row>
    <row r="284" spans="2:13" ht="85.5" x14ac:dyDescent="0.2">
      <c r="B284" s="7" t="s">
        <v>807</v>
      </c>
      <c r="C284" s="21" t="s">
        <v>958</v>
      </c>
      <c r="D284" s="7" t="s">
        <v>191</v>
      </c>
      <c r="E284" s="10">
        <f>MEMÓRIA!E282</f>
        <v>0.32000000000000006</v>
      </c>
      <c r="F284" s="7" t="s">
        <v>210</v>
      </c>
      <c r="G284" s="10">
        <v>2461.61</v>
      </c>
      <c r="H284" s="10">
        <f t="shared" si="34"/>
        <v>615.39274657516069</v>
      </c>
      <c r="I284" s="10">
        <v>2523.142252191632</v>
      </c>
      <c r="J284" s="10">
        <f t="shared" si="35"/>
        <v>807.40552070132242</v>
      </c>
      <c r="K284" s="131">
        <f t="shared" si="36"/>
        <v>0.18017457769833134</v>
      </c>
      <c r="M284" s="280"/>
    </row>
    <row r="285" spans="2:13" ht="85.5" x14ac:dyDescent="0.2">
      <c r="B285" s="7" t="s">
        <v>808</v>
      </c>
      <c r="C285" s="32" t="s">
        <v>834</v>
      </c>
      <c r="D285" s="7" t="s">
        <v>154</v>
      </c>
      <c r="E285" s="10">
        <f>MEMÓRIA!E283</f>
        <v>5.9136000000000006</v>
      </c>
      <c r="F285" s="9" t="s">
        <v>833</v>
      </c>
      <c r="G285" s="10">
        <v>127.9</v>
      </c>
      <c r="H285" s="10">
        <f t="shared" si="34"/>
        <v>31.974493232869161</v>
      </c>
      <c r="I285" s="10">
        <v>131.09708445095271</v>
      </c>
      <c r="J285" s="10">
        <f t="shared" si="35"/>
        <v>775.25571860915397</v>
      </c>
      <c r="K285" s="131">
        <f t="shared" si="36"/>
        <v>0.17300026830048393</v>
      </c>
      <c r="M285" s="280"/>
    </row>
    <row r="286" spans="2:13" ht="114" x14ac:dyDescent="0.2">
      <c r="B286" s="7" t="s">
        <v>809</v>
      </c>
      <c r="C286" s="29" t="s">
        <v>832</v>
      </c>
      <c r="D286" s="7" t="s">
        <v>154</v>
      </c>
      <c r="E286" s="10">
        <f>MEMÓRIA!E284</f>
        <v>14.56</v>
      </c>
      <c r="F286" s="130" t="s">
        <v>823</v>
      </c>
      <c r="G286" s="10">
        <v>86.61</v>
      </c>
      <c r="H286" s="10">
        <f t="shared" si="34"/>
        <v>21.652156832672382</v>
      </c>
      <c r="I286" s="10">
        <v>88.774968602791361</v>
      </c>
      <c r="J286" s="10">
        <f t="shared" si="35"/>
        <v>1292.5635428566422</v>
      </c>
      <c r="K286" s="131">
        <f t="shared" si="36"/>
        <v>0.28843881359662482</v>
      </c>
      <c r="M286" s="280"/>
    </row>
    <row r="287" spans="2:13" ht="85.5" x14ac:dyDescent="0.2">
      <c r="B287" s="7" t="s">
        <v>810</v>
      </c>
      <c r="C287" s="32" t="s">
        <v>818</v>
      </c>
      <c r="D287" s="7" t="s">
        <v>154</v>
      </c>
      <c r="E287" s="10">
        <f>MEMÓRIA!E285</f>
        <v>25.049999999999997</v>
      </c>
      <c r="F287" s="9" t="s">
        <v>828</v>
      </c>
      <c r="G287" s="10">
        <v>4.0999999999999996</v>
      </c>
      <c r="H287" s="10">
        <f t="shared" si="34"/>
        <v>1.0249837549238745</v>
      </c>
      <c r="I287" s="10">
        <v>4.2024866790375768</v>
      </c>
      <c r="J287" s="10">
        <f t="shared" si="35"/>
        <v>105.27229130989129</v>
      </c>
      <c r="K287" s="131">
        <f t="shared" si="36"/>
        <v>2.3491777234344483E-2</v>
      </c>
      <c r="M287" s="280"/>
    </row>
    <row r="288" spans="2:13" ht="114" x14ac:dyDescent="0.2">
      <c r="B288" s="7" t="s">
        <v>811</v>
      </c>
      <c r="C288" s="29" t="s">
        <v>331</v>
      </c>
      <c r="D288" s="7" t="s">
        <v>154</v>
      </c>
      <c r="E288" s="10">
        <f>MEMÓRIA!E286</f>
        <v>25.049999999999997</v>
      </c>
      <c r="F288" s="130" t="s">
        <v>829</v>
      </c>
      <c r="G288" s="10">
        <v>24.27</v>
      </c>
      <c r="H288" s="10">
        <f t="shared" si="34"/>
        <v>6.0674038370737646</v>
      </c>
      <c r="I288" s="10">
        <v>24.876671146400486</v>
      </c>
      <c r="J288" s="10">
        <f t="shared" si="35"/>
        <v>623.16061221733207</v>
      </c>
      <c r="K288" s="131">
        <f t="shared" si="36"/>
        <v>0.13905986182379038</v>
      </c>
      <c r="M288" s="280"/>
    </row>
    <row r="289" spans="2:13" ht="42.75" x14ac:dyDescent="0.2">
      <c r="B289" s="7" t="s">
        <v>836</v>
      </c>
      <c r="C289" s="8" t="s">
        <v>837</v>
      </c>
      <c r="D289" s="7" t="s">
        <v>41</v>
      </c>
      <c r="E289" s="10">
        <f>MEMÓRIA!E287</f>
        <v>1</v>
      </c>
      <c r="F289" s="7">
        <v>102609</v>
      </c>
      <c r="G289" s="10">
        <v>1242.31</v>
      </c>
      <c r="H289" s="10">
        <f t="shared" si="34"/>
        <v>310.57257770231183</v>
      </c>
      <c r="I289" s="10">
        <v>1273.17</v>
      </c>
      <c r="J289" s="10">
        <f t="shared" si="35"/>
        <v>1273.17</v>
      </c>
      <c r="K289" s="131">
        <f t="shared" si="36"/>
        <v>0.28411109561020964</v>
      </c>
      <c r="M289" s="280"/>
    </row>
    <row r="290" spans="2:13" x14ac:dyDescent="0.2">
      <c r="B290" s="7"/>
      <c r="C290" s="32"/>
      <c r="D290" s="7"/>
      <c r="E290" s="10"/>
      <c r="F290" s="7"/>
      <c r="G290" s="10"/>
      <c r="H290" s="10"/>
      <c r="I290" s="10"/>
      <c r="J290" s="10"/>
      <c r="K290" s="131"/>
      <c r="M290" s="280"/>
    </row>
    <row r="291" spans="2:13" x14ac:dyDescent="0.2">
      <c r="B291" s="161">
        <v>5</v>
      </c>
      <c r="C291" s="168" t="s">
        <v>814</v>
      </c>
      <c r="D291" s="161"/>
      <c r="E291" s="163"/>
      <c r="F291" s="161"/>
      <c r="G291" s="163"/>
      <c r="H291" s="163"/>
      <c r="I291" s="164"/>
      <c r="J291" s="163">
        <f>SUM(J292:J303)</f>
        <v>33500.581293913965</v>
      </c>
      <c r="K291" s="163">
        <f>SUM(K292:K303)</f>
        <v>7.4757391825072776</v>
      </c>
      <c r="M291" s="281"/>
    </row>
    <row r="292" spans="2:13" ht="42.75" x14ac:dyDescent="0.2">
      <c r="B292" s="7" t="s">
        <v>29</v>
      </c>
      <c r="C292" s="29" t="s">
        <v>815</v>
      </c>
      <c r="D292" s="7" t="s">
        <v>191</v>
      </c>
      <c r="E292" s="10">
        <f>MEMÓRIA!E290</f>
        <v>19.240000000000002</v>
      </c>
      <c r="F292" s="7" t="s">
        <v>820</v>
      </c>
      <c r="G292" s="10">
        <v>77.569999999999993</v>
      </c>
      <c r="H292" s="10">
        <f t="shared" ref="H292:H303" si="37">G292*$J$12</f>
        <v>19.39219265108413</v>
      </c>
      <c r="I292" s="10">
        <v>79.508997973888981</v>
      </c>
      <c r="J292" s="10">
        <f t="shared" ref="J292:J303" si="38">E292*I292</f>
        <v>1529.7531210176242</v>
      </c>
      <c r="K292" s="131">
        <f t="shared" ref="K292:K303" si="39">J292/$J$332*100</f>
        <v>0.34136826600175529</v>
      </c>
      <c r="M292" s="280"/>
    </row>
    <row r="293" spans="2:13" ht="57" x14ac:dyDescent="0.2">
      <c r="B293" s="7" t="s">
        <v>30</v>
      </c>
      <c r="C293" s="29" t="s">
        <v>816</v>
      </c>
      <c r="D293" s="7" t="s">
        <v>191</v>
      </c>
      <c r="E293" s="10">
        <f>MEMÓRIA!E291</f>
        <v>7.6319999999999997</v>
      </c>
      <c r="F293" s="7" t="s">
        <v>821</v>
      </c>
      <c r="G293" s="10">
        <v>567.54999999999995</v>
      </c>
      <c r="H293" s="10">
        <f t="shared" si="37"/>
        <v>141.88525124562071</v>
      </c>
      <c r="I293" s="10">
        <v>581.73690602140891</v>
      </c>
      <c r="J293" s="10">
        <f t="shared" si="38"/>
        <v>4439.816066755393</v>
      </c>
      <c r="K293" s="131">
        <f t="shared" si="39"/>
        <v>0.99075614963727265</v>
      </c>
      <c r="M293" s="280"/>
    </row>
    <row r="294" spans="2:13" ht="85.5" x14ac:dyDescent="0.2">
      <c r="B294" s="7" t="s">
        <v>31</v>
      </c>
      <c r="C294" s="29" t="s">
        <v>312</v>
      </c>
      <c r="D294" s="7" t="s">
        <v>191</v>
      </c>
      <c r="E294" s="10">
        <f>MEMÓRIA!E292</f>
        <v>0.57599999999999996</v>
      </c>
      <c r="F294" s="7" t="s">
        <v>210</v>
      </c>
      <c r="G294" s="10">
        <v>2461.61</v>
      </c>
      <c r="H294" s="10">
        <f t="shared" si="37"/>
        <v>615.39274657516069</v>
      </c>
      <c r="I294" s="10">
        <v>2523.142252191632</v>
      </c>
      <c r="J294" s="10">
        <f t="shared" si="38"/>
        <v>1453.3299372623799</v>
      </c>
      <c r="K294" s="131">
        <f t="shared" si="39"/>
        <v>0.32431423985699631</v>
      </c>
      <c r="M294" s="280"/>
    </row>
    <row r="295" spans="2:13" ht="28.5" x14ac:dyDescent="0.2">
      <c r="B295" s="7" t="s">
        <v>32</v>
      </c>
      <c r="C295" s="29" t="s">
        <v>817</v>
      </c>
      <c r="D295" s="7" t="s">
        <v>191</v>
      </c>
      <c r="E295" s="10">
        <f>MEMÓRIA!E293</f>
        <v>5.5680000000000014</v>
      </c>
      <c r="F295" s="7" t="s">
        <v>822</v>
      </c>
      <c r="G295" s="10">
        <v>23.47</v>
      </c>
      <c r="H295" s="10">
        <f t="shared" si="37"/>
        <v>5.8674070068447151</v>
      </c>
      <c r="I295" s="10">
        <v>24.056673745612667</v>
      </c>
      <c r="J295" s="10">
        <f t="shared" si="38"/>
        <v>133.94755941557136</v>
      </c>
      <c r="K295" s="131">
        <f t="shared" si="39"/>
        <v>2.9890735612582472E-2</v>
      </c>
      <c r="M295" s="280"/>
    </row>
    <row r="296" spans="2:13" ht="28.5" x14ac:dyDescent="0.2">
      <c r="B296" s="7" t="s">
        <v>160</v>
      </c>
      <c r="C296" s="29" t="s">
        <v>968</v>
      </c>
      <c r="D296" s="7" t="s">
        <v>191</v>
      </c>
      <c r="E296" s="10">
        <f>MEMÓRIA!E294</f>
        <v>2.472</v>
      </c>
      <c r="F296" s="7" t="s">
        <v>197</v>
      </c>
      <c r="G296" s="10">
        <f>composições!H18</f>
        <v>655.38589999999999</v>
      </c>
      <c r="H296" s="10">
        <f t="shared" si="37"/>
        <v>163.84387822101536</v>
      </c>
      <c r="I296" s="10">
        <v>671.76841814123259</v>
      </c>
      <c r="J296" s="10">
        <f t="shared" si="38"/>
        <v>1660.6115296451269</v>
      </c>
      <c r="K296" s="131">
        <f t="shared" si="39"/>
        <v>0.37056964982714258</v>
      </c>
      <c r="M296" s="280"/>
    </row>
    <row r="297" spans="2:13" ht="57" x14ac:dyDescent="0.2">
      <c r="B297" s="7" t="s">
        <v>854</v>
      </c>
      <c r="C297" s="29" t="s">
        <v>315</v>
      </c>
      <c r="D297" s="7" t="s">
        <v>333</v>
      </c>
      <c r="E297" s="10">
        <f>MEMÓRIA!E295</f>
        <v>41.2</v>
      </c>
      <c r="F297" s="7" t="s">
        <v>824</v>
      </c>
      <c r="G297" s="10">
        <v>67.59</v>
      </c>
      <c r="H297" s="10">
        <f t="shared" si="37"/>
        <v>16.897232193976752</v>
      </c>
      <c r="I297" s="10">
        <v>69.279530399060931</v>
      </c>
      <c r="J297" s="10">
        <f t="shared" si="38"/>
        <v>2854.3166524413105</v>
      </c>
      <c r="K297" s="131">
        <f t="shared" si="39"/>
        <v>0.63694795773036339</v>
      </c>
      <c r="M297" s="280"/>
    </row>
    <row r="298" spans="2:13" ht="85.5" x14ac:dyDescent="0.2">
      <c r="B298" s="7" t="s">
        <v>855</v>
      </c>
      <c r="C298" s="29" t="s">
        <v>318</v>
      </c>
      <c r="D298" s="7" t="s">
        <v>154</v>
      </c>
      <c r="E298" s="10">
        <f>MEMÓRIA!E296</f>
        <v>65.92</v>
      </c>
      <c r="F298" s="7" t="s">
        <v>823</v>
      </c>
      <c r="G298" s="10">
        <v>86.61</v>
      </c>
      <c r="H298" s="10">
        <f t="shared" si="37"/>
        <v>21.652156832672382</v>
      </c>
      <c r="I298" s="10">
        <v>88.774968602791361</v>
      </c>
      <c r="J298" s="10">
        <f t="shared" si="38"/>
        <v>5852.0459302960071</v>
      </c>
      <c r="K298" s="131">
        <f t="shared" si="39"/>
        <v>1.3058988044154882</v>
      </c>
      <c r="M298" s="280"/>
    </row>
    <row r="299" spans="2:13" ht="71.25" x14ac:dyDescent="0.2">
      <c r="B299" s="7" t="s">
        <v>856</v>
      </c>
      <c r="C299" s="29" t="s">
        <v>319</v>
      </c>
      <c r="D299" s="7" t="s">
        <v>333</v>
      </c>
      <c r="E299" s="10">
        <f>MEMÓRIA!E297</f>
        <v>0.76800000000000002</v>
      </c>
      <c r="F299" s="7" t="s">
        <v>210</v>
      </c>
      <c r="G299" s="10">
        <v>2461.61</v>
      </c>
      <c r="H299" s="10">
        <f t="shared" si="37"/>
        <v>615.39274657516069</v>
      </c>
      <c r="I299" s="10">
        <v>2523.142252191632</v>
      </c>
      <c r="J299" s="10">
        <f t="shared" si="38"/>
        <v>1937.7732496831734</v>
      </c>
      <c r="K299" s="131">
        <f t="shared" si="39"/>
        <v>0.43241898647599514</v>
      </c>
      <c r="M299" s="280"/>
    </row>
    <row r="300" spans="2:13" ht="71.25" x14ac:dyDescent="0.2">
      <c r="B300" s="7" t="s">
        <v>857</v>
      </c>
      <c r="C300" s="29" t="s">
        <v>826</v>
      </c>
      <c r="D300" s="7" t="s">
        <v>333</v>
      </c>
      <c r="E300" s="10">
        <f>MEMÓRIA!E298</f>
        <v>16</v>
      </c>
      <c r="F300" s="7" t="s">
        <v>825</v>
      </c>
      <c r="G300" s="10">
        <v>39.630000000000003</v>
      </c>
      <c r="H300" s="10">
        <f t="shared" si="37"/>
        <v>9.9073429774714992</v>
      </c>
      <c r="I300" s="10">
        <v>40.620621241526635</v>
      </c>
      <c r="J300" s="10">
        <f t="shared" si="38"/>
        <v>649.92993986442616</v>
      </c>
      <c r="K300" s="131">
        <f t="shared" si="39"/>
        <v>0.14503350478314742</v>
      </c>
      <c r="M300" s="280"/>
    </row>
    <row r="301" spans="2:13" ht="85.5" x14ac:dyDescent="0.2">
      <c r="B301" s="7" t="s">
        <v>858</v>
      </c>
      <c r="C301" s="29" t="s">
        <v>818</v>
      </c>
      <c r="D301" s="7" t="s">
        <v>154</v>
      </c>
      <c r="E301" s="10">
        <f>MEMÓRIA!E299</f>
        <v>184</v>
      </c>
      <c r="F301" s="7" t="s">
        <v>828</v>
      </c>
      <c r="G301" s="10">
        <v>4.0999999999999996</v>
      </c>
      <c r="H301" s="10">
        <f t="shared" si="37"/>
        <v>1.0249837549238745</v>
      </c>
      <c r="I301" s="10">
        <v>4.2024866790375768</v>
      </c>
      <c r="J301" s="10">
        <f t="shared" si="38"/>
        <v>773.25754894291413</v>
      </c>
      <c r="K301" s="131">
        <f t="shared" si="39"/>
        <v>0.17255437170137267</v>
      </c>
      <c r="M301" s="280"/>
    </row>
    <row r="302" spans="2:13" ht="114" x14ac:dyDescent="0.2">
      <c r="B302" s="7" t="s">
        <v>859</v>
      </c>
      <c r="C302" s="29" t="s">
        <v>331</v>
      </c>
      <c r="D302" s="7" t="s">
        <v>154</v>
      </c>
      <c r="E302" s="10">
        <f>MEMÓRIA!E300</f>
        <v>184</v>
      </c>
      <c r="F302" s="7" t="s">
        <v>829</v>
      </c>
      <c r="G302" s="10">
        <v>24.27</v>
      </c>
      <c r="H302" s="10">
        <f t="shared" si="37"/>
        <v>6.0674038370737646</v>
      </c>
      <c r="I302" s="10">
        <v>24.876671146400486</v>
      </c>
      <c r="J302" s="10">
        <f t="shared" si="38"/>
        <v>4577.3074909376892</v>
      </c>
      <c r="K302" s="131">
        <f t="shared" si="39"/>
        <v>1.0214377076078816</v>
      </c>
      <c r="M302" s="280"/>
    </row>
    <row r="303" spans="2:13" ht="57" x14ac:dyDescent="0.2">
      <c r="B303" s="7" t="s">
        <v>860</v>
      </c>
      <c r="C303" s="29" t="s">
        <v>819</v>
      </c>
      <c r="D303" s="7" t="s">
        <v>154</v>
      </c>
      <c r="E303" s="10">
        <f>MEMÓRIA!E301</f>
        <v>611.84</v>
      </c>
      <c r="F303" s="7" t="s">
        <v>39</v>
      </c>
      <c r="G303" s="10">
        <v>12.18</v>
      </c>
      <c r="H303" s="10">
        <f t="shared" si="37"/>
        <v>3.0449517402372663</v>
      </c>
      <c r="I303" s="10">
        <v>12.484460426994559</v>
      </c>
      <c r="J303" s="10">
        <f t="shared" si="38"/>
        <v>7638.4922676523511</v>
      </c>
      <c r="K303" s="131">
        <f t="shared" si="39"/>
        <v>1.7045488088572807</v>
      </c>
      <c r="M303" s="280"/>
    </row>
    <row r="304" spans="2:13" x14ac:dyDescent="0.2">
      <c r="B304" s="7"/>
      <c r="C304" s="29"/>
      <c r="D304" s="7"/>
      <c r="E304" s="10"/>
      <c r="F304" s="7"/>
      <c r="G304" s="10"/>
      <c r="H304" s="10"/>
      <c r="I304" s="10"/>
      <c r="J304" s="10"/>
      <c r="K304" s="131"/>
      <c r="M304" s="280"/>
    </row>
    <row r="305" spans="2:13" ht="28.5" x14ac:dyDescent="0.2">
      <c r="B305" s="161">
        <v>6</v>
      </c>
      <c r="C305" s="162" t="s">
        <v>1001</v>
      </c>
      <c r="D305" s="161"/>
      <c r="E305" s="164"/>
      <c r="F305" s="161"/>
      <c r="G305" s="163"/>
      <c r="H305" s="163"/>
      <c r="I305" s="164"/>
      <c r="J305" s="163">
        <f>J306+J312+J322</f>
        <v>21065.763373563048</v>
      </c>
      <c r="K305" s="163">
        <f>K306+K312+K322</f>
        <v>4.7008782110232126</v>
      </c>
      <c r="M305" s="281"/>
    </row>
    <row r="306" spans="2:13" x14ac:dyDescent="0.2">
      <c r="B306" s="157" t="s">
        <v>885</v>
      </c>
      <c r="C306" s="167" t="s">
        <v>964</v>
      </c>
      <c r="D306" s="157"/>
      <c r="E306" s="160"/>
      <c r="F306" s="166"/>
      <c r="G306" s="160"/>
      <c r="H306" s="160"/>
      <c r="I306" s="160"/>
      <c r="J306" s="159">
        <f>SUM(J307:J311)</f>
        <v>13185.811946968039</v>
      </c>
      <c r="K306" s="159">
        <f>SUM(K307:K311)</f>
        <v>2.9424471820442522</v>
      </c>
      <c r="M306" s="281"/>
    </row>
    <row r="307" spans="2:13" ht="42.75" x14ac:dyDescent="0.2">
      <c r="B307" s="7" t="s">
        <v>965</v>
      </c>
      <c r="C307" s="29" t="s">
        <v>815</v>
      </c>
      <c r="D307" s="7" t="s">
        <v>191</v>
      </c>
      <c r="E307" s="10">
        <f>MEMÓRIA!E305</f>
        <v>8.1197999999999997</v>
      </c>
      <c r="F307" s="7" t="s">
        <v>820</v>
      </c>
      <c r="G307" s="10">
        <v>77.569999999999993</v>
      </c>
      <c r="H307" s="10">
        <f t="shared" ref="H307:H331" si="40">G307*$J$12</f>
        <v>19.39219265108413</v>
      </c>
      <c r="I307" s="10">
        <v>79.508997973888981</v>
      </c>
      <c r="J307" s="10">
        <f t="shared" ref="J307:J331" si="41">E307*I307</f>
        <v>645.59716174838377</v>
      </c>
      <c r="K307" s="131">
        <f>J307/$J$332*100</f>
        <v>0.14406663442209214</v>
      </c>
      <c r="M307" s="280"/>
    </row>
    <row r="308" spans="2:13" ht="57" x14ac:dyDescent="0.2">
      <c r="B308" s="7" t="s">
        <v>966</v>
      </c>
      <c r="C308" s="13" t="s">
        <v>967</v>
      </c>
      <c r="D308" s="7" t="s">
        <v>191</v>
      </c>
      <c r="E308" s="10">
        <f>MEMÓRIA!E306</f>
        <v>1.3532999999999999</v>
      </c>
      <c r="F308" s="7">
        <v>96620</v>
      </c>
      <c r="G308" s="10">
        <v>541.20000000000005</v>
      </c>
      <c r="H308" s="10">
        <f t="shared" si="40"/>
        <v>135.29785564995146</v>
      </c>
      <c r="I308" s="10">
        <v>554.72824163296025</v>
      </c>
      <c r="J308" s="10">
        <f t="shared" si="41"/>
        <v>750.71372940188508</v>
      </c>
      <c r="K308" s="131">
        <f>J308/$J$332*100</f>
        <v>0.16752366152987899</v>
      </c>
      <c r="M308" s="280"/>
    </row>
    <row r="309" spans="2:13" ht="28.5" x14ac:dyDescent="0.2">
      <c r="B309" s="7" t="s">
        <v>969</v>
      </c>
      <c r="C309" s="29" t="s">
        <v>968</v>
      </c>
      <c r="D309" s="7" t="s">
        <v>191</v>
      </c>
      <c r="E309" s="10">
        <f>MEMÓRIA!E307</f>
        <v>6.8567200000000001</v>
      </c>
      <c r="F309" s="7" t="s">
        <v>197</v>
      </c>
      <c r="G309" s="10">
        <f>composições!H18</f>
        <v>655.38589999999999</v>
      </c>
      <c r="H309" s="10">
        <f t="shared" si="40"/>
        <v>163.84387822101536</v>
      </c>
      <c r="I309" s="10">
        <v>671.76841814123259</v>
      </c>
      <c r="J309" s="10">
        <f t="shared" si="41"/>
        <v>4606.1279480373523</v>
      </c>
      <c r="K309" s="131">
        <f>J309/$J$332*100</f>
        <v>1.0278690652761995</v>
      </c>
      <c r="M309" s="280"/>
    </row>
    <row r="310" spans="2:13" ht="42.75" x14ac:dyDescent="0.2">
      <c r="B310" s="7" t="s">
        <v>970</v>
      </c>
      <c r="C310" s="13" t="s">
        <v>316</v>
      </c>
      <c r="D310" s="7" t="s">
        <v>191</v>
      </c>
      <c r="E310" s="10">
        <f>MEMÓRIA!E308</f>
        <v>12.438000000000001</v>
      </c>
      <c r="F310" s="7">
        <v>93382</v>
      </c>
      <c r="G310" s="10">
        <v>22.25</v>
      </c>
      <c r="H310" s="10">
        <f t="shared" si="40"/>
        <v>5.5624118407454164</v>
      </c>
      <c r="I310" s="10">
        <v>22.806177709411241</v>
      </c>
      <c r="J310" s="10">
        <f t="shared" si="41"/>
        <v>283.66323834965704</v>
      </c>
      <c r="K310" s="131">
        <f>J310/$J$332*100</f>
        <v>6.330016685270709E-2</v>
      </c>
      <c r="M310" s="280"/>
    </row>
    <row r="311" spans="2:13" ht="57" x14ac:dyDescent="0.2">
      <c r="B311" s="7" t="s">
        <v>971</v>
      </c>
      <c r="C311" s="13" t="s">
        <v>967</v>
      </c>
      <c r="D311" s="7" t="s">
        <v>191</v>
      </c>
      <c r="E311" s="10">
        <f>MEMÓRIA!E309</f>
        <v>12.438000000000001</v>
      </c>
      <c r="F311" s="7">
        <v>96620</v>
      </c>
      <c r="G311" s="10">
        <v>541.20000000000005</v>
      </c>
      <c r="H311" s="10">
        <f t="shared" si="40"/>
        <v>135.29785564995146</v>
      </c>
      <c r="I311" s="10">
        <v>554.72824163296025</v>
      </c>
      <c r="J311" s="10">
        <f t="shared" si="41"/>
        <v>6899.7098694307597</v>
      </c>
      <c r="K311" s="131">
        <f>J311/$J$332*100</f>
        <v>1.5396876539633746</v>
      </c>
      <c r="M311" s="280"/>
    </row>
    <row r="312" spans="2:13" x14ac:dyDescent="0.2">
      <c r="B312" s="157" t="s">
        <v>886</v>
      </c>
      <c r="C312" s="165" t="s">
        <v>978</v>
      </c>
      <c r="D312" s="157"/>
      <c r="E312" s="160"/>
      <c r="F312" s="166"/>
      <c r="G312" s="160"/>
      <c r="H312" s="159"/>
      <c r="I312" s="160"/>
      <c r="J312" s="159">
        <f>SUM(J313:J321)</f>
        <v>7299.9551955697289</v>
      </c>
      <c r="K312" s="159">
        <f>SUM(K313:K321)</f>
        <v>1.6290034076507911</v>
      </c>
      <c r="M312" s="281"/>
    </row>
    <row r="313" spans="2:13" ht="42.75" x14ac:dyDescent="0.2">
      <c r="B313" s="7" t="s">
        <v>979</v>
      </c>
      <c r="C313" s="29" t="s">
        <v>815</v>
      </c>
      <c r="D313" s="7" t="s">
        <v>191</v>
      </c>
      <c r="E313" s="10">
        <f>MEMÓRIA!E311</f>
        <v>2.1203999999999996</v>
      </c>
      <c r="F313" s="7" t="s">
        <v>820</v>
      </c>
      <c r="G313" s="10">
        <v>77.569999999999993</v>
      </c>
      <c r="H313" s="10">
        <f t="shared" si="40"/>
        <v>19.39219265108413</v>
      </c>
      <c r="I313" s="10">
        <v>79.508997973888981</v>
      </c>
      <c r="J313" s="10">
        <f t="shared" si="41"/>
        <v>168.59087930383416</v>
      </c>
      <c r="K313" s="131">
        <f t="shared" ref="K313:K321" si="42">J313/$J$332*100</f>
        <v>3.7621479793665369E-2</v>
      </c>
      <c r="M313" s="280"/>
    </row>
    <row r="314" spans="2:13" ht="57" x14ac:dyDescent="0.2">
      <c r="B314" s="7" t="s">
        <v>980</v>
      </c>
      <c r="C314" s="13" t="s">
        <v>967</v>
      </c>
      <c r="D314" s="7" t="s">
        <v>191</v>
      </c>
      <c r="E314" s="10">
        <f>MEMÓRIA!E312</f>
        <v>0.35339999999999999</v>
      </c>
      <c r="F314" s="7">
        <v>96620</v>
      </c>
      <c r="G314" s="10">
        <v>541.20000000000005</v>
      </c>
      <c r="H314" s="10">
        <f t="shared" ref="H314:H329" si="43">G314*$J$12</f>
        <v>135.29785564995146</v>
      </c>
      <c r="I314" s="10">
        <v>554.72824163296025</v>
      </c>
      <c r="J314" s="10">
        <f t="shared" ref="J314:J329" si="44">E314*I314</f>
        <v>196.04096059308816</v>
      </c>
      <c r="K314" s="131">
        <f t="shared" si="42"/>
        <v>4.3747034644690187E-2</v>
      </c>
      <c r="M314" s="280"/>
    </row>
    <row r="315" spans="2:13" ht="28.5" x14ac:dyDescent="0.2">
      <c r="B315" s="7" t="s">
        <v>981</v>
      </c>
      <c r="C315" s="13" t="s">
        <v>985</v>
      </c>
      <c r="D315" s="7" t="s">
        <v>191</v>
      </c>
      <c r="E315" s="10">
        <f>MEMÓRIA!E313</f>
        <v>3.9063999999999997</v>
      </c>
      <c r="F315" s="7" t="s">
        <v>197</v>
      </c>
      <c r="G315" s="10">
        <f>composições!H18</f>
        <v>655.38589999999999</v>
      </c>
      <c r="H315" s="10">
        <f t="shared" si="43"/>
        <v>163.84387822101536</v>
      </c>
      <c r="I315" s="10">
        <v>671.76841814123259</v>
      </c>
      <c r="J315" s="10">
        <f t="shared" si="44"/>
        <v>2624.1961486269106</v>
      </c>
      <c r="K315" s="131">
        <f t="shared" si="42"/>
        <v>0.58559598708930005</v>
      </c>
      <c r="M315" s="280"/>
    </row>
    <row r="316" spans="2:13" ht="85.5" x14ac:dyDescent="0.2">
      <c r="B316" s="7" t="s">
        <v>982</v>
      </c>
      <c r="C316" s="29" t="s">
        <v>818</v>
      </c>
      <c r="D316" s="7" t="s">
        <v>154</v>
      </c>
      <c r="E316" s="10">
        <f>MEMÓRIA!E314</f>
        <v>20.56</v>
      </c>
      <c r="F316" s="7" t="s">
        <v>828</v>
      </c>
      <c r="G316" s="10">
        <v>4.0999999999999996</v>
      </c>
      <c r="H316" s="10">
        <f t="shared" si="43"/>
        <v>1.0249837549238745</v>
      </c>
      <c r="I316" s="10">
        <v>4.2024866790375768</v>
      </c>
      <c r="J316" s="10">
        <f t="shared" si="44"/>
        <v>86.403126121012576</v>
      </c>
      <c r="K316" s="131">
        <f t="shared" si="42"/>
        <v>1.928107544663164E-2</v>
      </c>
      <c r="M316" s="280"/>
    </row>
    <row r="317" spans="2:13" ht="114" x14ac:dyDescent="0.2">
      <c r="B317" s="7" t="s">
        <v>983</v>
      </c>
      <c r="C317" s="29" t="s">
        <v>331</v>
      </c>
      <c r="D317" s="7" t="s">
        <v>154</v>
      </c>
      <c r="E317" s="10">
        <f>MEMÓRIA!E315</f>
        <v>20.56</v>
      </c>
      <c r="F317" s="7" t="s">
        <v>829</v>
      </c>
      <c r="G317" s="10">
        <v>24.27</v>
      </c>
      <c r="H317" s="10">
        <f t="shared" si="43"/>
        <v>6.0674038370737646</v>
      </c>
      <c r="I317" s="10">
        <v>24.876671146400486</v>
      </c>
      <c r="J317" s="10">
        <f t="shared" si="44"/>
        <v>511.46435876999396</v>
      </c>
      <c r="K317" s="131">
        <f t="shared" si="42"/>
        <v>0.11413456124140242</v>
      </c>
      <c r="M317" s="280"/>
    </row>
    <row r="318" spans="2:13" ht="57" x14ac:dyDescent="0.2">
      <c r="B318" s="7" t="s">
        <v>984</v>
      </c>
      <c r="C318" s="13" t="s">
        <v>317</v>
      </c>
      <c r="D318" s="7" t="s">
        <v>191</v>
      </c>
      <c r="E318" s="10">
        <f>MEMÓRIA!E316</f>
        <v>10.050000000000001</v>
      </c>
      <c r="F318" s="7">
        <v>94319</v>
      </c>
      <c r="G318" s="10">
        <v>76.08</v>
      </c>
      <c r="H318" s="10">
        <f t="shared" si="43"/>
        <v>19.019698554782529</v>
      </c>
      <c r="I318" s="10">
        <v>77.981752814921663</v>
      </c>
      <c r="J318" s="10">
        <f t="shared" si="44"/>
        <v>783.71661578996282</v>
      </c>
      <c r="K318" s="131">
        <f t="shared" si="42"/>
        <v>0.17488833883928467</v>
      </c>
      <c r="M318" s="280"/>
    </row>
    <row r="319" spans="2:13" ht="85.5" x14ac:dyDescent="0.2">
      <c r="B319" s="7" t="s">
        <v>986</v>
      </c>
      <c r="C319" s="8" t="s">
        <v>839</v>
      </c>
      <c r="D319" s="7" t="s">
        <v>191</v>
      </c>
      <c r="E319" s="10">
        <f>MEMÓRIA!E317</f>
        <v>1.0105</v>
      </c>
      <c r="F319" s="7">
        <v>94990</v>
      </c>
      <c r="G319" s="10">
        <v>759.19</v>
      </c>
      <c r="H319" s="10">
        <f t="shared" si="43"/>
        <v>189.79449192698934</v>
      </c>
      <c r="I319" s="10">
        <v>778.16728338013138</v>
      </c>
      <c r="J319" s="10">
        <f t="shared" si="44"/>
        <v>786.3380398556227</v>
      </c>
      <c r="K319" s="131">
        <f t="shared" si="42"/>
        <v>0.17547331622907048</v>
      </c>
      <c r="M319" s="280"/>
    </row>
    <row r="320" spans="2:13" ht="57" x14ac:dyDescent="0.2">
      <c r="B320" s="7" t="s">
        <v>987</v>
      </c>
      <c r="C320" s="8" t="s">
        <v>921</v>
      </c>
      <c r="D320" s="7" t="s">
        <v>154</v>
      </c>
      <c r="E320" s="10">
        <f>MEMÓRIA!E318</f>
        <v>4.32</v>
      </c>
      <c r="F320" s="7">
        <v>104658</v>
      </c>
      <c r="G320" s="10">
        <v>138.21</v>
      </c>
      <c r="H320" s="10">
        <f t="shared" si="43"/>
        <v>34.551952382446025</v>
      </c>
      <c r="I320" s="10">
        <v>141.66480095360575</v>
      </c>
      <c r="J320" s="10">
        <f t="shared" si="44"/>
        <v>611.99194011957684</v>
      </c>
      <c r="K320" s="131">
        <f t="shared" si="42"/>
        <v>0.13656754448501834</v>
      </c>
      <c r="M320" s="280"/>
    </row>
    <row r="321" spans="2:13" ht="42.75" x14ac:dyDescent="0.2">
      <c r="B321" s="7" t="s">
        <v>994</v>
      </c>
      <c r="C321" s="8" t="s">
        <v>889</v>
      </c>
      <c r="D321" s="7" t="s">
        <v>333</v>
      </c>
      <c r="E321" s="10">
        <f>MEMÓRIA!E319</f>
        <v>11.020000000000001</v>
      </c>
      <c r="F321" s="7" t="s">
        <v>888</v>
      </c>
      <c r="G321" s="10">
        <v>135.56</v>
      </c>
      <c r="H321" s="10">
        <f t="shared" si="43"/>
        <v>33.889462882312301</v>
      </c>
      <c r="I321" s="10">
        <v>138.94855956349608</v>
      </c>
      <c r="J321" s="10">
        <f t="shared" si="44"/>
        <v>1531.213126389727</v>
      </c>
      <c r="K321" s="131">
        <f t="shared" si="42"/>
        <v>0.34169406988172807</v>
      </c>
      <c r="M321" s="280"/>
    </row>
    <row r="322" spans="2:13" x14ac:dyDescent="0.2">
      <c r="B322" s="157" t="s">
        <v>887</v>
      </c>
      <c r="C322" s="165" t="s">
        <v>1002</v>
      </c>
      <c r="D322" s="157"/>
      <c r="E322" s="160"/>
      <c r="F322" s="166"/>
      <c r="G322" s="160"/>
      <c r="H322" s="160"/>
      <c r="I322" s="160"/>
      <c r="J322" s="159">
        <f>SUM(J323:J326)</f>
        <v>579.99623102528255</v>
      </c>
      <c r="K322" s="159">
        <f>SUM(K323:K326)</f>
        <v>0.12942762132816932</v>
      </c>
      <c r="M322" s="280"/>
    </row>
    <row r="323" spans="2:13" ht="42.75" x14ac:dyDescent="0.2">
      <c r="B323" s="7" t="s">
        <v>1000</v>
      </c>
      <c r="C323" s="13" t="s">
        <v>1004</v>
      </c>
      <c r="D323" s="7" t="s">
        <v>191</v>
      </c>
      <c r="E323" s="10">
        <f>MEMÓRIA!E321</f>
        <v>0.64535400000000009</v>
      </c>
      <c r="F323" s="7" t="s">
        <v>197</v>
      </c>
      <c r="G323" s="10">
        <f>composições!H18</f>
        <v>655.38589999999999</v>
      </c>
      <c r="H323" s="10">
        <f t="shared" si="43"/>
        <v>163.84387822101536</v>
      </c>
      <c r="I323" s="10">
        <v>671.76841814123259</v>
      </c>
      <c r="J323" s="10">
        <f t="shared" si="44"/>
        <v>433.52843572111709</v>
      </c>
      <c r="K323" s="131">
        <f>J323/$J$332*100</f>
        <v>9.6742963509120483E-2</v>
      </c>
      <c r="M323" s="280"/>
    </row>
    <row r="324" spans="2:13" ht="71.25" x14ac:dyDescent="0.2">
      <c r="B324" s="7" t="s">
        <v>1005</v>
      </c>
      <c r="C324" s="13" t="s">
        <v>1009</v>
      </c>
      <c r="D324" s="7" t="s">
        <v>191</v>
      </c>
      <c r="E324" s="10">
        <f>MEMÓRIA!E322</f>
        <v>0.253</v>
      </c>
      <c r="F324" s="7">
        <v>94319</v>
      </c>
      <c r="G324" s="10">
        <v>76.08</v>
      </c>
      <c r="H324" s="10">
        <f t="shared" si="43"/>
        <v>19.019698554782529</v>
      </c>
      <c r="I324" s="10">
        <v>77.981752814921663</v>
      </c>
      <c r="J324" s="10">
        <f t="shared" si="44"/>
        <v>19.729383462175182</v>
      </c>
      <c r="K324" s="131">
        <f>J324/$J$332*100</f>
        <v>4.4026616643123399E-3</v>
      </c>
      <c r="M324" s="280"/>
    </row>
    <row r="325" spans="2:13" ht="85.5" x14ac:dyDescent="0.2">
      <c r="B325" s="7" t="s">
        <v>1006</v>
      </c>
      <c r="C325" s="8" t="s">
        <v>839</v>
      </c>
      <c r="D325" s="7" t="s">
        <v>191</v>
      </c>
      <c r="E325" s="10">
        <f>MEMÓRIA!E323</f>
        <v>2.7500000000000004E-2</v>
      </c>
      <c r="F325" s="7">
        <v>94990</v>
      </c>
      <c r="G325" s="10">
        <v>759.19</v>
      </c>
      <c r="H325" s="10">
        <f t="shared" si="43"/>
        <v>189.79449192698934</v>
      </c>
      <c r="I325" s="10">
        <v>778.16728338013138</v>
      </c>
      <c r="J325" s="10">
        <f t="shared" si="44"/>
        <v>21.399600292953615</v>
      </c>
      <c r="K325" s="131">
        <f>J325/$J$332*100</f>
        <v>4.7753747613057283E-3</v>
      </c>
      <c r="M325" s="280"/>
    </row>
    <row r="326" spans="2:13" ht="42.75" x14ac:dyDescent="0.2">
      <c r="B326" s="7" t="s">
        <v>1007</v>
      </c>
      <c r="C326" s="21" t="s">
        <v>1012</v>
      </c>
      <c r="D326" s="7" t="s">
        <v>154</v>
      </c>
      <c r="E326" s="10">
        <f>MEMÓRIA!E324</f>
        <v>3.2185999999999999</v>
      </c>
      <c r="F326" s="7" t="s">
        <v>1011</v>
      </c>
      <c r="G326" s="10">
        <v>31.93</v>
      </c>
      <c r="H326" s="10">
        <f t="shared" si="43"/>
        <v>7.9823734865169058</v>
      </c>
      <c r="I326" s="10">
        <v>32.728146258943866</v>
      </c>
      <c r="J326" s="10">
        <f t="shared" si="44"/>
        <v>105.33881154903672</v>
      </c>
      <c r="K326" s="131">
        <f>J326/$J$332*100</f>
        <v>2.3506621393430752E-2</v>
      </c>
      <c r="M326" s="280"/>
    </row>
    <row r="327" spans="2:13" x14ac:dyDescent="0.2">
      <c r="B327" s="7"/>
      <c r="C327" s="29"/>
      <c r="D327" s="7"/>
      <c r="E327" s="10"/>
      <c r="F327" s="7"/>
      <c r="G327" s="10"/>
      <c r="H327" s="10"/>
      <c r="I327" s="10"/>
      <c r="J327" s="10"/>
      <c r="K327" s="131"/>
      <c r="M327" s="280"/>
    </row>
    <row r="328" spans="2:13" x14ac:dyDescent="0.2">
      <c r="B328" s="161">
        <v>7</v>
      </c>
      <c r="C328" s="162" t="s">
        <v>40</v>
      </c>
      <c r="D328" s="161"/>
      <c r="E328" s="163"/>
      <c r="F328" s="161"/>
      <c r="G328" s="163"/>
      <c r="H328" s="163"/>
      <c r="I328" s="164"/>
      <c r="J328" s="163">
        <f>SUM(J329:J331)</f>
        <v>1353.6703289868692</v>
      </c>
      <c r="K328" s="163">
        <f>SUM(K329:K331)</f>
        <v>0.30207494699332565</v>
      </c>
      <c r="M328" s="281"/>
    </row>
    <row r="329" spans="2:13" ht="85.5" x14ac:dyDescent="0.2">
      <c r="B329" s="7" t="s">
        <v>1015</v>
      </c>
      <c r="C329" s="8" t="s">
        <v>838</v>
      </c>
      <c r="D329" s="7" t="s">
        <v>191</v>
      </c>
      <c r="E329" s="10">
        <f>MEMÓRIA!E327</f>
        <v>133.33000000000001</v>
      </c>
      <c r="F329" s="7">
        <v>100982</v>
      </c>
      <c r="G329" s="10">
        <v>8.6199999999999992</v>
      </c>
      <c r="H329" s="10">
        <f t="shared" si="43"/>
        <v>2.1549658457179994</v>
      </c>
      <c r="I329" s="10">
        <v>8.08</v>
      </c>
      <c r="J329" s="10">
        <f t="shared" si="44"/>
        <v>1077.3064000000002</v>
      </c>
      <c r="K329" s="131">
        <f>J329/$J$332*100</f>
        <v>0.24040363942905568</v>
      </c>
      <c r="M329" s="280"/>
    </row>
    <row r="330" spans="2:13" ht="42.75" x14ac:dyDescent="0.2">
      <c r="B330" s="7" t="s">
        <v>1016</v>
      </c>
      <c r="C330" s="8" t="s">
        <v>840</v>
      </c>
      <c r="D330" s="7" t="s">
        <v>154</v>
      </c>
      <c r="E330" s="10">
        <f>MEMÓRIA!E328</f>
        <v>46.54</v>
      </c>
      <c r="F330" s="7">
        <v>99803</v>
      </c>
      <c r="G330" s="10">
        <v>1.75</v>
      </c>
      <c r="H330" s="10">
        <f t="shared" si="40"/>
        <v>0.43749306612604399</v>
      </c>
      <c r="I330" s="10">
        <v>1.7937443142233562</v>
      </c>
      <c r="J330" s="10">
        <f t="shared" si="41"/>
        <v>83.48086038395499</v>
      </c>
      <c r="K330" s="131">
        <f>J330/$J$332*100</f>
        <v>1.8628964479345568E-2</v>
      </c>
      <c r="M330" s="280"/>
    </row>
    <row r="331" spans="2:13" ht="42.75" x14ac:dyDescent="0.2">
      <c r="B331" s="7" t="s">
        <v>1017</v>
      </c>
      <c r="C331" s="8" t="s">
        <v>841</v>
      </c>
      <c r="D331" s="7" t="s">
        <v>154</v>
      </c>
      <c r="E331" s="10">
        <f>MEMÓRIA!E329</f>
        <v>261.36</v>
      </c>
      <c r="F331" s="7">
        <v>99806</v>
      </c>
      <c r="G331" s="10">
        <v>0.72</v>
      </c>
      <c r="H331" s="10">
        <f t="shared" si="40"/>
        <v>0.17999714720614382</v>
      </c>
      <c r="I331" s="10">
        <v>0.73799766070903794</v>
      </c>
      <c r="J331" s="10">
        <f t="shared" si="41"/>
        <v>192.88306860291416</v>
      </c>
      <c r="K331" s="131">
        <f>J331/$J$332*100</f>
        <v>4.3042343084924377E-2</v>
      </c>
      <c r="M331" s="280"/>
    </row>
    <row r="332" spans="2:13" x14ac:dyDescent="0.2">
      <c r="B332" s="231" t="s">
        <v>842</v>
      </c>
      <c r="C332" s="231"/>
      <c r="D332" s="231"/>
      <c r="E332" s="231"/>
      <c r="F332" s="231"/>
      <c r="G332" s="231"/>
      <c r="H332" s="231"/>
      <c r="I332" s="231"/>
      <c r="J332" s="163">
        <f>J15+J32+J121+J280+J291+J305+J328</f>
        <v>448123.99785566423</v>
      </c>
      <c r="K332" s="163">
        <f>K15+K32+K121+K280+K291+K305+K328</f>
        <v>100</v>
      </c>
      <c r="M332" s="282"/>
    </row>
    <row r="333" spans="2:13" x14ac:dyDescent="0.2">
      <c r="M333" s="279"/>
    </row>
    <row r="334" spans="2:13" x14ac:dyDescent="0.2">
      <c r="M334" s="279"/>
    </row>
    <row r="335" spans="2:13" x14ac:dyDescent="0.2">
      <c r="M335" s="279"/>
    </row>
    <row r="336" spans="2:13" x14ac:dyDescent="0.2">
      <c r="M336" s="279"/>
    </row>
    <row r="337" spans="13:13" x14ac:dyDescent="0.2">
      <c r="M337" s="279"/>
    </row>
    <row r="338" spans="13:13" x14ac:dyDescent="0.2">
      <c r="M338" s="279"/>
    </row>
    <row r="339" spans="13:13" x14ac:dyDescent="0.2">
      <c r="M339" s="279"/>
    </row>
    <row r="340" spans="13:13" x14ac:dyDescent="0.2">
      <c r="M340" s="279"/>
    </row>
    <row r="341" spans="13:13" x14ac:dyDescent="0.2">
      <c r="M341" s="279"/>
    </row>
    <row r="342" spans="13:13" x14ac:dyDescent="0.2">
      <c r="M342" s="279"/>
    </row>
  </sheetData>
  <mergeCells count="9">
    <mergeCell ref="B10:K10"/>
    <mergeCell ref="E7:H8"/>
    <mergeCell ref="B332:I332"/>
    <mergeCell ref="K13:K14"/>
    <mergeCell ref="B13:B14"/>
    <mergeCell ref="C13:C14"/>
    <mergeCell ref="D13:D14"/>
    <mergeCell ref="E13:E14"/>
    <mergeCell ref="F13:J13"/>
  </mergeCells>
  <phoneticPr fontId="6" type="noConversion"/>
  <pageMargins left="0.51181102362204722" right="0.51181102362204722" top="0.9" bottom="0.78740157480314965" header="0.31496062992125984" footer="0.31496062992125984"/>
  <pageSetup paperSize="9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48"/>
  <sheetViews>
    <sheetView topLeftCell="A2" workbookViewId="0">
      <selection activeCell="C2" sqref="C2"/>
    </sheetView>
  </sheetViews>
  <sheetFormatPr defaultRowHeight="14.25" x14ac:dyDescent="0.2"/>
  <cols>
    <col min="1" max="1" width="0.25" customWidth="1"/>
    <col min="2" max="2" width="3.5" customWidth="1"/>
    <col min="3" max="3" width="11" customWidth="1"/>
    <col min="4" max="4" width="8.125" customWidth="1"/>
    <col min="5" max="5" width="4.875" customWidth="1"/>
    <col min="6" max="6" width="4.75" customWidth="1"/>
    <col min="7" max="7" width="7.75" customWidth="1"/>
    <col min="8" max="8" width="4.625" customWidth="1"/>
    <col min="9" max="9" width="7.375" customWidth="1"/>
    <col min="10" max="10" width="5.125" customWidth="1"/>
    <col min="11" max="11" width="7.75" customWidth="1"/>
    <col min="12" max="12" width="4.75" customWidth="1"/>
    <col min="13" max="13" width="7.625" customWidth="1"/>
    <col min="14" max="14" width="5.125" style="12" customWidth="1"/>
    <col min="15" max="15" width="7.375" style="12" customWidth="1"/>
    <col min="16" max="16" width="4.875" style="12" customWidth="1"/>
    <col min="17" max="17" width="9.25" style="12" customWidth="1"/>
    <col min="18" max="18" width="5.125" style="12" customWidth="1"/>
    <col min="19" max="19" width="8.875" style="12" customWidth="1"/>
    <col min="20" max="20" width="5.375" style="12" customWidth="1"/>
    <col min="21" max="21" width="8.5" style="12" customWidth="1"/>
    <col min="23" max="23" width="9.625" bestFit="1" customWidth="1"/>
  </cols>
  <sheetData>
    <row r="2" spans="2:23" x14ac:dyDescent="0.2">
      <c r="B2" s="53"/>
      <c r="C2" s="53"/>
      <c r="D2" s="54"/>
      <c r="E2" s="53"/>
      <c r="F2" s="55"/>
      <c r="G2" s="56"/>
      <c r="H2" s="57"/>
      <c r="I2" s="58"/>
      <c r="J2" s="57"/>
      <c r="K2" s="59"/>
    </row>
    <row r="3" spans="2:23" x14ac:dyDescent="0.2">
      <c r="B3" s="53"/>
      <c r="C3" s="53"/>
      <c r="D3" s="54"/>
      <c r="E3" s="53"/>
      <c r="F3" s="55"/>
      <c r="G3" s="56"/>
      <c r="H3" s="57"/>
      <c r="I3" s="58"/>
      <c r="J3" s="57"/>
      <c r="K3" s="59"/>
    </row>
    <row r="4" spans="2:23" ht="14.25" customHeight="1" x14ac:dyDescent="0.2"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</row>
    <row r="5" spans="2:23" ht="3.75" customHeight="1" x14ac:dyDescent="0.2">
      <c r="B5" s="53"/>
      <c r="C5" s="53"/>
      <c r="D5" s="54"/>
      <c r="E5" s="53"/>
      <c r="F5" s="55"/>
      <c r="G5" s="56"/>
      <c r="H5" s="57"/>
      <c r="I5" s="58"/>
      <c r="J5" s="57"/>
      <c r="K5" s="59"/>
    </row>
    <row r="6" spans="2:23" ht="19.5" customHeight="1" x14ac:dyDescent="0.2">
      <c r="B6" s="240" t="s">
        <v>178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</row>
    <row r="7" spans="2:23" ht="3.75" customHeight="1" x14ac:dyDescent="0.2">
      <c r="B7" s="53"/>
      <c r="C7" s="53"/>
      <c r="D7" s="54"/>
      <c r="E7" s="53"/>
      <c r="F7" s="55"/>
      <c r="G7" s="56"/>
      <c r="H7" s="57"/>
      <c r="I7" s="58"/>
      <c r="J7" s="57"/>
      <c r="K7" s="59"/>
    </row>
    <row r="8" spans="2:23" ht="18.75" customHeight="1" x14ac:dyDescent="0.2">
      <c r="B8" s="243" t="s">
        <v>85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</row>
    <row r="9" spans="2:23" ht="3.75" customHeight="1" x14ac:dyDescent="0.2">
      <c r="B9" s="60"/>
      <c r="C9" s="60"/>
      <c r="D9" s="60"/>
      <c r="E9" s="60"/>
      <c r="F9" s="61"/>
      <c r="G9" s="62"/>
      <c r="H9" s="61"/>
      <c r="I9" s="62"/>
      <c r="J9" s="61"/>
      <c r="K9" s="59"/>
    </row>
    <row r="10" spans="2:23" x14ac:dyDescent="0.2">
      <c r="B10" s="239" t="s">
        <v>1</v>
      </c>
      <c r="C10" s="239" t="s">
        <v>86</v>
      </c>
      <c r="D10" s="239" t="s">
        <v>87</v>
      </c>
      <c r="E10" s="239" t="s">
        <v>48</v>
      </c>
      <c r="F10" s="239" t="s">
        <v>88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</row>
    <row r="11" spans="2:23" x14ac:dyDescent="0.2">
      <c r="B11" s="239"/>
      <c r="C11" s="239"/>
      <c r="D11" s="239"/>
      <c r="E11" s="239"/>
      <c r="F11" s="218" t="s">
        <v>48</v>
      </c>
      <c r="G11" s="216">
        <v>1</v>
      </c>
      <c r="H11" s="218" t="s">
        <v>48</v>
      </c>
      <c r="I11" s="216">
        <v>2</v>
      </c>
      <c r="J11" s="218" t="s">
        <v>48</v>
      </c>
      <c r="K11" s="216">
        <v>3</v>
      </c>
      <c r="L11" s="218" t="s">
        <v>48</v>
      </c>
      <c r="M11" s="216">
        <v>4</v>
      </c>
      <c r="N11" s="219" t="s">
        <v>48</v>
      </c>
      <c r="O11" s="217">
        <v>5</v>
      </c>
      <c r="P11" s="219" t="s">
        <v>48</v>
      </c>
      <c r="Q11" s="217">
        <v>6</v>
      </c>
      <c r="R11" s="219" t="s">
        <v>48</v>
      </c>
      <c r="S11" s="217">
        <v>7</v>
      </c>
      <c r="T11" s="219" t="s">
        <v>48</v>
      </c>
      <c r="U11" s="217">
        <v>8</v>
      </c>
    </row>
    <row r="12" spans="2:23" ht="22.5" x14ac:dyDescent="0.2">
      <c r="B12" s="133">
        <v>1</v>
      </c>
      <c r="C12" s="134" t="str">
        <f>ORÇAMENTO!C15</f>
        <v>SERVIÇOS PRELIMINARES</v>
      </c>
      <c r="D12" s="140">
        <f>ORÇAMENTO!J15</f>
        <v>19495.357208282159</v>
      </c>
      <c r="E12" s="140">
        <f>ORÇAMENTO!K15</f>
        <v>4.3504381156934588</v>
      </c>
      <c r="F12" s="142">
        <v>100</v>
      </c>
      <c r="G12" s="142">
        <f>D12*F12%</f>
        <v>19495.357208282159</v>
      </c>
      <c r="H12" s="140"/>
      <c r="I12" s="140">
        <f>D12*H12%</f>
        <v>0</v>
      </c>
      <c r="J12" s="140"/>
      <c r="K12" s="140">
        <f>D12*J12%</f>
        <v>0</v>
      </c>
      <c r="L12" s="140"/>
      <c r="M12" s="140">
        <f>D12*L12%</f>
        <v>0</v>
      </c>
      <c r="N12" s="140"/>
      <c r="O12" s="140">
        <f>D12*N12%</f>
        <v>0</v>
      </c>
      <c r="P12" s="140"/>
      <c r="Q12" s="140">
        <f>D12*P12%</f>
        <v>0</v>
      </c>
      <c r="R12" s="140"/>
      <c r="S12" s="140">
        <f>D12*R12%</f>
        <v>0</v>
      </c>
      <c r="T12" s="140"/>
      <c r="U12" s="140">
        <f>D12*T12%</f>
        <v>0</v>
      </c>
      <c r="W12" s="80"/>
    </row>
    <row r="13" spans="2:23" ht="45" x14ac:dyDescent="0.2">
      <c r="B13" s="133">
        <v>2</v>
      </c>
      <c r="C13" s="134" t="str">
        <f>ORÇAMENTO!C32</f>
        <v>AMPLIAÇÃO DA EDIFICAÇÃO (SANITÁRIOS PARA PNE)</v>
      </c>
      <c r="D13" s="140">
        <f>SUM(D14:D24)</f>
        <v>37179.486913312583</v>
      </c>
      <c r="E13" s="140">
        <f>ORÇAMENTO!K32</f>
        <v>8.2966962472935215</v>
      </c>
      <c r="F13" s="140"/>
      <c r="G13" s="140">
        <f t="shared" ref="G13:U13" si="0">SUM(G14:G24)</f>
        <v>17981.537350108327</v>
      </c>
      <c r="H13" s="140"/>
      <c r="I13" s="140">
        <f t="shared" si="0"/>
        <v>4687.3782840373806</v>
      </c>
      <c r="J13" s="140"/>
      <c r="K13" s="140">
        <f t="shared" si="0"/>
        <v>7115.9803709006346</v>
      </c>
      <c r="L13" s="140"/>
      <c r="M13" s="140">
        <f t="shared" si="0"/>
        <v>738.64293716365296</v>
      </c>
      <c r="N13" s="140"/>
      <c r="O13" s="140">
        <f t="shared" si="0"/>
        <v>1047.0900639538113</v>
      </c>
      <c r="P13" s="140"/>
      <c r="Q13" s="140">
        <f t="shared" si="0"/>
        <v>1137.1255530610288</v>
      </c>
      <c r="R13" s="140"/>
      <c r="S13" s="140">
        <f t="shared" si="0"/>
        <v>337.75522788989645</v>
      </c>
      <c r="T13" s="140"/>
      <c r="U13" s="140">
        <f t="shared" si="0"/>
        <v>4133.9771261978567</v>
      </c>
      <c r="W13" s="80"/>
    </row>
    <row r="14" spans="2:23" x14ac:dyDescent="0.2">
      <c r="B14" s="137" t="s">
        <v>21</v>
      </c>
      <c r="C14" s="138" t="str">
        <f>ORÇAMENTO!C33</f>
        <v>FUNDAÇÕES</v>
      </c>
      <c r="D14" s="135">
        <f>ORÇAMENTO!J33</f>
        <v>8151.0869198083119</v>
      </c>
      <c r="E14" s="136">
        <f t="shared" ref="E14:E24" si="1">D14/$D$43*100</f>
        <v>1.8189355979176296</v>
      </c>
      <c r="F14" s="143">
        <v>100</v>
      </c>
      <c r="G14" s="143">
        <f t="shared" ref="G14:G40" si="2">D14*F14%</f>
        <v>8151.0869198083119</v>
      </c>
      <c r="H14" s="145"/>
      <c r="I14" s="145">
        <f t="shared" ref="I14:I40" si="3">D14*H14%</f>
        <v>0</v>
      </c>
      <c r="J14" s="145"/>
      <c r="K14" s="145">
        <f t="shared" ref="K14:K40" si="4">D14*J14%</f>
        <v>0</v>
      </c>
      <c r="L14" s="145"/>
      <c r="M14" s="145">
        <f t="shared" ref="M14:M40" si="5">D14*L14%</f>
        <v>0</v>
      </c>
      <c r="N14" s="145"/>
      <c r="O14" s="145">
        <f>D14*N14%</f>
        <v>0</v>
      </c>
      <c r="P14" s="145"/>
      <c r="Q14" s="145">
        <f>D14*P14%</f>
        <v>0</v>
      </c>
      <c r="R14" s="145"/>
      <c r="S14" s="145">
        <f>D14*R14%</f>
        <v>0</v>
      </c>
      <c r="T14" s="145"/>
      <c r="U14" s="145">
        <f>D14*T14%</f>
        <v>0</v>
      </c>
      <c r="W14" s="80"/>
    </row>
    <row r="15" spans="2:23" x14ac:dyDescent="0.2">
      <c r="B15" s="137" t="s">
        <v>22</v>
      </c>
      <c r="C15" s="138" t="str">
        <f>ORÇAMENTO!C42</f>
        <v>ELEVAÇÃO</v>
      </c>
      <c r="D15" s="135">
        <f>ORÇAMENTO!J42</f>
        <v>7894.7320736032834</v>
      </c>
      <c r="E15" s="136">
        <f t="shared" si="1"/>
        <v>1.7617293676260759</v>
      </c>
      <c r="F15" s="143">
        <v>100</v>
      </c>
      <c r="G15" s="143">
        <f t="shared" si="2"/>
        <v>7894.7320736032834</v>
      </c>
      <c r="H15" s="145"/>
      <c r="I15" s="145">
        <f t="shared" si="3"/>
        <v>0</v>
      </c>
      <c r="J15" s="145"/>
      <c r="K15" s="145">
        <f t="shared" si="4"/>
        <v>0</v>
      </c>
      <c r="L15" s="145"/>
      <c r="M15" s="145">
        <f t="shared" si="5"/>
        <v>0</v>
      </c>
      <c r="N15" s="145"/>
      <c r="O15" s="145">
        <f t="shared" ref="O15:O24" si="6">D15*N15%</f>
        <v>0</v>
      </c>
      <c r="P15" s="145"/>
      <c r="Q15" s="145">
        <f t="shared" ref="Q15:Q24" si="7">D15*P15%</f>
        <v>0</v>
      </c>
      <c r="R15" s="145"/>
      <c r="S15" s="145">
        <f t="shared" ref="S15:S24" si="8">D15*R15%</f>
        <v>0</v>
      </c>
      <c r="T15" s="145"/>
      <c r="U15" s="145">
        <f t="shared" ref="U15:U24" si="9">D15*T15%</f>
        <v>0</v>
      </c>
      <c r="W15" s="80"/>
    </row>
    <row r="16" spans="2:23" x14ac:dyDescent="0.2">
      <c r="B16" s="137" t="s">
        <v>180</v>
      </c>
      <c r="C16" s="138" t="str">
        <f>ORÇAMENTO!C47</f>
        <v>COBERTURA</v>
      </c>
      <c r="D16" s="135">
        <f>ORÇAMENTO!J47</f>
        <v>1935.7183566967337</v>
      </c>
      <c r="E16" s="136">
        <f t="shared" si="1"/>
        <v>0.43196043192496175</v>
      </c>
      <c r="F16" s="143">
        <v>100</v>
      </c>
      <c r="G16" s="143">
        <f t="shared" si="2"/>
        <v>1935.7183566967337</v>
      </c>
      <c r="H16" s="145"/>
      <c r="I16" s="145">
        <f t="shared" si="3"/>
        <v>0</v>
      </c>
      <c r="J16" s="145"/>
      <c r="K16" s="145">
        <f t="shared" si="4"/>
        <v>0</v>
      </c>
      <c r="L16" s="145"/>
      <c r="M16" s="145">
        <f t="shared" si="5"/>
        <v>0</v>
      </c>
      <c r="N16" s="145"/>
      <c r="O16" s="145">
        <f t="shared" si="6"/>
        <v>0</v>
      </c>
      <c r="P16" s="145"/>
      <c r="Q16" s="145">
        <f t="shared" si="7"/>
        <v>0</v>
      </c>
      <c r="R16" s="145"/>
      <c r="S16" s="145">
        <f t="shared" si="8"/>
        <v>0</v>
      </c>
      <c r="T16" s="145"/>
      <c r="U16" s="145">
        <f t="shared" si="9"/>
        <v>0</v>
      </c>
      <c r="W16" s="80"/>
    </row>
    <row r="17" spans="2:23" x14ac:dyDescent="0.2">
      <c r="B17" s="137" t="s">
        <v>181</v>
      </c>
      <c r="C17" s="138" t="str">
        <f>ORÇAMENTO!C55</f>
        <v>ESQUADRIAS</v>
      </c>
      <c r="D17" s="135">
        <f>ORÇAMENTO!J55</f>
        <v>3225.7451350943643</v>
      </c>
      <c r="E17" s="136">
        <f t="shared" si="1"/>
        <v>0.71983316013648102</v>
      </c>
      <c r="F17" s="145"/>
      <c r="G17" s="145">
        <f t="shared" si="2"/>
        <v>0</v>
      </c>
      <c r="H17" s="145"/>
      <c r="I17" s="145">
        <f t="shared" si="3"/>
        <v>0</v>
      </c>
      <c r="J17" s="143">
        <v>100</v>
      </c>
      <c r="K17" s="143">
        <f t="shared" si="4"/>
        <v>3225.7451350943643</v>
      </c>
      <c r="L17" s="145"/>
      <c r="M17" s="145">
        <f t="shared" si="5"/>
        <v>0</v>
      </c>
      <c r="N17" s="145"/>
      <c r="O17" s="145">
        <f t="shared" si="6"/>
        <v>0</v>
      </c>
      <c r="P17" s="145"/>
      <c r="Q17" s="145">
        <f t="shared" si="7"/>
        <v>0</v>
      </c>
      <c r="R17" s="145"/>
      <c r="S17" s="145">
        <f t="shared" si="8"/>
        <v>0</v>
      </c>
      <c r="T17" s="145"/>
      <c r="U17" s="145">
        <f t="shared" si="9"/>
        <v>0</v>
      </c>
      <c r="W17" s="80"/>
    </row>
    <row r="18" spans="2:23" x14ac:dyDescent="0.2">
      <c r="B18" s="137" t="s">
        <v>182</v>
      </c>
      <c r="C18" s="138" t="str">
        <f>ORÇAMENTO!C60</f>
        <v>REVESTIMENTO</v>
      </c>
      <c r="D18" s="135">
        <f>ORÇAMENTO!J60</f>
        <v>5992.6262846870704</v>
      </c>
      <c r="E18" s="136">
        <f t="shared" si="1"/>
        <v>1.3372696649504652</v>
      </c>
      <c r="F18" s="145"/>
      <c r="G18" s="145">
        <f t="shared" si="2"/>
        <v>0</v>
      </c>
      <c r="H18" s="143">
        <v>50</v>
      </c>
      <c r="I18" s="143">
        <f t="shared" si="3"/>
        <v>2996.3131423435352</v>
      </c>
      <c r="J18" s="143">
        <v>50</v>
      </c>
      <c r="K18" s="143">
        <f t="shared" si="4"/>
        <v>2996.3131423435352</v>
      </c>
      <c r="L18" s="145"/>
      <c r="M18" s="145">
        <f t="shared" si="5"/>
        <v>0</v>
      </c>
      <c r="N18" s="145"/>
      <c r="O18" s="145">
        <f t="shared" si="6"/>
        <v>0</v>
      </c>
      <c r="P18" s="145"/>
      <c r="Q18" s="145">
        <f t="shared" si="7"/>
        <v>0</v>
      </c>
      <c r="R18" s="145"/>
      <c r="S18" s="145">
        <f t="shared" si="8"/>
        <v>0</v>
      </c>
      <c r="T18" s="145"/>
      <c r="U18" s="145">
        <f t="shared" si="9"/>
        <v>0</v>
      </c>
      <c r="W18" s="80"/>
    </row>
    <row r="19" spans="2:23" x14ac:dyDescent="0.2">
      <c r="B19" s="137" t="s">
        <v>253</v>
      </c>
      <c r="C19" s="138" t="str">
        <f>ORÇAMENTO!C66</f>
        <v>PAVIMENTAÇÃO</v>
      </c>
      <c r="D19" s="135">
        <f>ORÇAMENTO!J66</f>
        <v>1229.4500444126102</v>
      </c>
      <c r="E19" s="136">
        <f t="shared" si="1"/>
        <v>0.27435487728746955</v>
      </c>
      <c r="F19" s="145"/>
      <c r="G19" s="145">
        <f t="shared" si="2"/>
        <v>0</v>
      </c>
      <c r="H19" s="145">
        <v>100</v>
      </c>
      <c r="I19" s="145">
        <f t="shared" si="3"/>
        <v>1229.4500444126102</v>
      </c>
      <c r="J19" s="145"/>
      <c r="K19" s="145">
        <f t="shared" si="4"/>
        <v>0</v>
      </c>
      <c r="L19" s="145"/>
      <c r="M19" s="145">
        <f t="shared" si="5"/>
        <v>0</v>
      </c>
      <c r="N19" s="145"/>
      <c r="O19" s="145">
        <f t="shared" si="6"/>
        <v>0</v>
      </c>
      <c r="P19" s="145"/>
      <c r="Q19" s="145">
        <f t="shared" si="7"/>
        <v>0</v>
      </c>
      <c r="R19" s="145"/>
      <c r="S19" s="145">
        <f t="shared" si="8"/>
        <v>0</v>
      </c>
      <c r="T19" s="145"/>
      <c r="U19" s="145">
        <f t="shared" si="9"/>
        <v>0</v>
      </c>
      <c r="W19" s="80"/>
    </row>
    <row r="20" spans="2:23" ht="22.5" x14ac:dyDescent="0.2">
      <c r="B20" s="137" t="s">
        <v>257</v>
      </c>
      <c r="C20" s="138" t="str">
        <f>ORÇAMENTO!C70</f>
        <v>INSTALAÇÃO ELÉTRICA</v>
      </c>
      <c r="D20" s="135">
        <f>ORÇAMENTO!J70</f>
        <v>1238.598693913395</v>
      </c>
      <c r="E20" s="136">
        <f t="shared" si="1"/>
        <v>0.27639642149053884</v>
      </c>
      <c r="F20" s="145"/>
      <c r="G20" s="145">
        <f t="shared" si="2"/>
        <v>0</v>
      </c>
      <c r="H20" s="143">
        <v>10</v>
      </c>
      <c r="I20" s="143">
        <f t="shared" si="3"/>
        <v>123.8598693913395</v>
      </c>
      <c r="J20" s="143">
        <v>20</v>
      </c>
      <c r="K20" s="143">
        <f t="shared" si="4"/>
        <v>247.719738782679</v>
      </c>
      <c r="L20" s="143">
        <v>30</v>
      </c>
      <c r="M20" s="143">
        <f t="shared" si="5"/>
        <v>371.57960817401846</v>
      </c>
      <c r="N20" s="143">
        <v>30</v>
      </c>
      <c r="O20" s="143">
        <f t="shared" si="6"/>
        <v>371.57960817401846</v>
      </c>
      <c r="P20" s="143">
        <v>10</v>
      </c>
      <c r="Q20" s="143">
        <f t="shared" si="7"/>
        <v>123.8598693913395</v>
      </c>
      <c r="R20" s="145"/>
      <c r="S20" s="145">
        <f t="shared" si="8"/>
        <v>0</v>
      </c>
      <c r="T20" s="145"/>
      <c r="U20" s="145">
        <f t="shared" si="9"/>
        <v>0</v>
      </c>
      <c r="W20" s="80"/>
    </row>
    <row r="21" spans="2:23" ht="22.5" x14ac:dyDescent="0.2">
      <c r="B21" s="137" t="s">
        <v>261</v>
      </c>
      <c r="C21" s="138" t="str">
        <f>ORÇAMENTO!C86</f>
        <v>INSTALAÇÃO HIDRÁULICA</v>
      </c>
      <c r="D21" s="135">
        <f>ORÇAMENTO!J86</f>
        <v>293.08101099738025</v>
      </c>
      <c r="E21" s="136">
        <f t="shared" si="1"/>
        <v>6.5401766564570016E-2</v>
      </c>
      <c r="F21" s="145"/>
      <c r="G21" s="145">
        <f t="shared" si="2"/>
        <v>0</v>
      </c>
      <c r="H21" s="143">
        <v>10</v>
      </c>
      <c r="I21" s="143">
        <f t="shared" si="3"/>
        <v>29.308101099738025</v>
      </c>
      <c r="J21" s="143">
        <v>10</v>
      </c>
      <c r="K21" s="143">
        <f t="shared" si="4"/>
        <v>29.308101099738025</v>
      </c>
      <c r="L21" s="143">
        <v>20</v>
      </c>
      <c r="M21" s="143">
        <f t="shared" si="5"/>
        <v>58.616202199476049</v>
      </c>
      <c r="N21" s="143">
        <v>20</v>
      </c>
      <c r="O21" s="143">
        <f t="shared" si="6"/>
        <v>58.616202199476049</v>
      </c>
      <c r="P21" s="143">
        <v>30</v>
      </c>
      <c r="Q21" s="143">
        <f t="shared" si="7"/>
        <v>87.924303299214074</v>
      </c>
      <c r="R21" s="143">
        <v>10</v>
      </c>
      <c r="S21" s="143">
        <f t="shared" si="8"/>
        <v>29.308101099738025</v>
      </c>
      <c r="T21" s="145"/>
      <c r="U21" s="145">
        <f t="shared" si="9"/>
        <v>0</v>
      </c>
      <c r="W21" s="80"/>
    </row>
    <row r="22" spans="2:23" ht="22.5" x14ac:dyDescent="0.2">
      <c r="B22" s="137" t="s">
        <v>268</v>
      </c>
      <c r="C22" s="138" t="str">
        <f>ORÇAMENTO!C93</f>
        <v>INSTALAÇÃO SANITÁRIA</v>
      </c>
      <c r="D22" s="135">
        <f>ORÇAMENTO!J93</f>
        <v>3084.4712679015838</v>
      </c>
      <c r="E22" s="136">
        <f t="shared" si="1"/>
        <v>0.68830754047121079</v>
      </c>
      <c r="F22" s="145"/>
      <c r="G22" s="145">
        <f t="shared" si="2"/>
        <v>0</v>
      </c>
      <c r="H22" s="143">
        <v>10</v>
      </c>
      <c r="I22" s="143">
        <f t="shared" si="3"/>
        <v>308.44712679015839</v>
      </c>
      <c r="J22" s="143">
        <v>20</v>
      </c>
      <c r="K22" s="143">
        <f t="shared" si="4"/>
        <v>616.89425358031679</v>
      </c>
      <c r="L22" s="143">
        <v>10</v>
      </c>
      <c r="M22" s="143">
        <f t="shared" si="5"/>
        <v>308.44712679015839</v>
      </c>
      <c r="N22" s="143">
        <v>20</v>
      </c>
      <c r="O22" s="143">
        <f t="shared" si="6"/>
        <v>616.89425358031679</v>
      </c>
      <c r="P22" s="143">
        <v>30</v>
      </c>
      <c r="Q22" s="143">
        <f t="shared" si="7"/>
        <v>925.34138037047512</v>
      </c>
      <c r="R22" s="143">
        <v>10</v>
      </c>
      <c r="S22" s="143">
        <f t="shared" si="8"/>
        <v>308.44712679015839</v>
      </c>
      <c r="T22" s="145"/>
      <c r="U22" s="145">
        <f t="shared" si="9"/>
        <v>0</v>
      </c>
      <c r="W22" s="80"/>
    </row>
    <row r="23" spans="2:23" ht="22.5" x14ac:dyDescent="0.2">
      <c r="B23" s="137" t="s">
        <v>397</v>
      </c>
      <c r="C23" s="138" t="str">
        <f>ORÇAMENTO!C106</f>
        <v>LOUÇAS E METAIS</v>
      </c>
      <c r="D23" s="135">
        <f>ORÇAMENTO!J106</f>
        <v>3264.5531520814493</v>
      </c>
      <c r="E23" s="136">
        <f t="shared" si="1"/>
        <v>0.72849326697583505</v>
      </c>
      <c r="F23" s="145"/>
      <c r="G23" s="145">
        <f t="shared" si="2"/>
        <v>0</v>
      </c>
      <c r="H23" s="145"/>
      <c r="I23" s="145">
        <f t="shared" si="3"/>
        <v>0</v>
      </c>
      <c r="J23" s="145"/>
      <c r="K23" s="145">
        <f t="shared" si="4"/>
        <v>0</v>
      </c>
      <c r="L23" s="145"/>
      <c r="M23" s="145">
        <f t="shared" si="5"/>
        <v>0</v>
      </c>
      <c r="N23" s="145"/>
      <c r="O23" s="145">
        <f t="shared" si="6"/>
        <v>0</v>
      </c>
      <c r="P23" s="145"/>
      <c r="Q23" s="145">
        <f t="shared" si="7"/>
        <v>0</v>
      </c>
      <c r="R23" s="145"/>
      <c r="S23" s="145">
        <f t="shared" si="8"/>
        <v>0</v>
      </c>
      <c r="T23" s="143">
        <v>100</v>
      </c>
      <c r="U23" s="143">
        <f t="shared" si="9"/>
        <v>3264.5531520814493</v>
      </c>
      <c r="W23" s="80"/>
    </row>
    <row r="24" spans="2:23" x14ac:dyDescent="0.2">
      <c r="B24" s="137" t="s">
        <v>415</v>
      </c>
      <c r="C24" s="138" t="str">
        <f>ORÇAMENTO!C113</f>
        <v>PINTURA</v>
      </c>
      <c r="D24" s="135">
        <f>ORÇAMENTO!J113</f>
        <v>869.42397411640707</v>
      </c>
      <c r="E24" s="136">
        <f t="shared" si="1"/>
        <v>0.19401415194828259</v>
      </c>
      <c r="F24" s="145"/>
      <c r="G24" s="145">
        <f t="shared" si="2"/>
        <v>0</v>
      </c>
      <c r="H24" s="145"/>
      <c r="I24" s="145">
        <f t="shared" si="3"/>
        <v>0</v>
      </c>
      <c r="J24" s="145"/>
      <c r="K24" s="145">
        <f t="shared" si="4"/>
        <v>0</v>
      </c>
      <c r="L24" s="145"/>
      <c r="M24" s="145">
        <f t="shared" si="5"/>
        <v>0</v>
      </c>
      <c r="N24" s="145"/>
      <c r="O24" s="145">
        <f t="shared" si="6"/>
        <v>0</v>
      </c>
      <c r="P24" s="145"/>
      <c r="Q24" s="145">
        <f t="shared" si="7"/>
        <v>0</v>
      </c>
      <c r="R24" s="145"/>
      <c r="S24" s="145">
        <f t="shared" si="8"/>
        <v>0</v>
      </c>
      <c r="T24" s="143">
        <v>100</v>
      </c>
      <c r="U24" s="143">
        <f t="shared" si="9"/>
        <v>869.42397411640707</v>
      </c>
      <c r="W24" s="80"/>
    </row>
    <row r="25" spans="2:23" ht="33.75" x14ac:dyDescent="0.2">
      <c r="B25" s="133">
        <v>3</v>
      </c>
      <c r="C25" s="134" t="str">
        <f>ORÇAMENTO!C121</f>
        <v>REFORMA E ADEQUAÇÃO DA EDIFICAÇÃO</v>
      </c>
      <c r="D25" s="140">
        <f>SUM(D26:D37)</f>
        <v>330126.44350648718</v>
      </c>
      <c r="E25" s="140">
        <f>ORÇAMENTO!K121</f>
        <v>73.668548233566653</v>
      </c>
      <c r="F25" s="140"/>
      <c r="G25" s="140">
        <f>SUM(G26:G37)</f>
        <v>15432.817554748157</v>
      </c>
      <c r="H25" s="140"/>
      <c r="I25" s="140">
        <f>SUM(I26:I37)</f>
        <v>54307.60511152773</v>
      </c>
      <c r="J25" s="140"/>
      <c r="K25" s="140">
        <f>SUM(K26:K37)</f>
        <v>53531.31622653349</v>
      </c>
      <c r="L25" s="140"/>
      <c r="M25" s="140">
        <f>SUM(M26:M37)</f>
        <v>52351.307001571819</v>
      </c>
      <c r="N25" s="140"/>
      <c r="O25" s="140">
        <f>SUM(O26:O37)</f>
        <v>28894.582786000523</v>
      </c>
      <c r="P25" s="140"/>
      <c r="Q25" s="140">
        <f>SUM(Q26:Q37)</f>
        <v>62088.873572118318</v>
      </c>
      <c r="R25" s="140"/>
      <c r="S25" s="140">
        <f>SUM(S26:S37)</f>
        <v>17089.087187086152</v>
      </c>
      <c r="T25" s="140"/>
      <c r="U25" s="140">
        <f>SUM(U26:U37)</f>
        <v>46430.854066901018</v>
      </c>
      <c r="W25" s="80"/>
    </row>
    <row r="26" spans="2:23" x14ac:dyDescent="0.2">
      <c r="B26" s="137" t="s">
        <v>25</v>
      </c>
      <c r="C26" s="138" t="str">
        <f>ORÇAMENTO!C122</f>
        <v>VEDAÇÕES</v>
      </c>
      <c r="D26" s="135">
        <f>ORÇAMENTO!J122</f>
        <v>1336.1997455394362</v>
      </c>
      <c r="E26" s="136">
        <f t="shared" ref="E26:E37" si="10">D26/$D$43*100</f>
        <v>0.29817634224753375</v>
      </c>
      <c r="F26" s="143">
        <v>100</v>
      </c>
      <c r="G26" s="143">
        <f t="shared" si="2"/>
        <v>1336.1997455394362</v>
      </c>
      <c r="H26" s="145"/>
      <c r="I26" s="145">
        <f t="shared" si="3"/>
        <v>0</v>
      </c>
      <c r="J26" s="145"/>
      <c r="K26" s="145">
        <f t="shared" si="4"/>
        <v>0</v>
      </c>
      <c r="L26" s="145"/>
      <c r="M26" s="145">
        <f t="shared" si="5"/>
        <v>0</v>
      </c>
      <c r="N26" s="145"/>
      <c r="O26" s="145">
        <f t="shared" ref="O26" si="11">D26*N26%</f>
        <v>0</v>
      </c>
      <c r="P26" s="145"/>
      <c r="Q26" s="145">
        <f t="shared" ref="Q26" si="12">D26*P26%</f>
        <v>0</v>
      </c>
      <c r="R26" s="145"/>
      <c r="S26" s="145">
        <f t="shared" ref="S26" si="13">D26*R26%</f>
        <v>0</v>
      </c>
      <c r="T26" s="145"/>
      <c r="U26" s="145">
        <f t="shared" ref="U26" si="14">D26*T26%</f>
        <v>0</v>
      </c>
      <c r="W26" s="80"/>
    </row>
    <row r="27" spans="2:23" x14ac:dyDescent="0.2">
      <c r="B27" s="137" t="s">
        <v>26</v>
      </c>
      <c r="C27" s="138" t="str">
        <f>ORÇAMENTO!C125</f>
        <v>COBERTURA</v>
      </c>
      <c r="D27" s="135">
        <f>ORÇAMENTO!J125</f>
        <v>35241.544523021803</v>
      </c>
      <c r="E27" s="136">
        <f t="shared" si="10"/>
        <v>7.8642395166644725</v>
      </c>
      <c r="F27" s="143">
        <v>40</v>
      </c>
      <c r="G27" s="143">
        <f t="shared" si="2"/>
        <v>14096.617809208721</v>
      </c>
      <c r="H27" s="143">
        <v>60</v>
      </c>
      <c r="I27" s="143">
        <f t="shared" si="3"/>
        <v>21144.926713813082</v>
      </c>
      <c r="J27" s="145"/>
      <c r="K27" s="145">
        <f t="shared" si="4"/>
        <v>0</v>
      </c>
      <c r="L27" s="145"/>
      <c r="M27" s="145">
        <f t="shared" si="5"/>
        <v>0</v>
      </c>
      <c r="N27" s="145"/>
      <c r="O27" s="145">
        <f t="shared" ref="O27:O37" si="15">D27*N27%</f>
        <v>0</v>
      </c>
      <c r="P27" s="145"/>
      <c r="Q27" s="145">
        <f t="shared" ref="Q27:Q37" si="16">D27*P27%</f>
        <v>0</v>
      </c>
      <c r="R27" s="145"/>
      <c r="S27" s="145">
        <f t="shared" ref="S27:S37" si="17">D27*R27%</f>
        <v>0</v>
      </c>
      <c r="T27" s="145"/>
      <c r="U27" s="145">
        <f t="shared" ref="U27:U37" si="18">D27*T27%</f>
        <v>0</v>
      </c>
      <c r="W27" s="80"/>
    </row>
    <row r="28" spans="2:23" x14ac:dyDescent="0.2">
      <c r="B28" s="137" t="s">
        <v>27</v>
      </c>
      <c r="C28" s="138" t="str">
        <f>ORÇAMENTO!C130</f>
        <v>ESQUADRIAS</v>
      </c>
      <c r="D28" s="135">
        <f>ORÇAMENTO!J130</f>
        <v>40920.463541092206</v>
      </c>
      <c r="E28" s="136">
        <f t="shared" si="10"/>
        <v>9.131504614102866</v>
      </c>
      <c r="F28" s="145"/>
      <c r="G28" s="145">
        <f t="shared" si="2"/>
        <v>0</v>
      </c>
      <c r="H28" s="145"/>
      <c r="I28" s="145">
        <f t="shared" si="3"/>
        <v>0</v>
      </c>
      <c r="J28" s="145"/>
      <c r="K28" s="145">
        <f t="shared" si="4"/>
        <v>0</v>
      </c>
      <c r="L28" s="143">
        <v>70</v>
      </c>
      <c r="M28" s="143">
        <f t="shared" si="5"/>
        <v>28644.324478764542</v>
      </c>
      <c r="N28" s="143">
        <v>30</v>
      </c>
      <c r="O28" s="143">
        <f t="shared" si="15"/>
        <v>12276.139062327662</v>
      </c>
      <c r="P28" s="145"/>
      <c r="Q28" s="145">
        <f>D28*P28%</f>
        <v>0</v>
      </c>
      <c r="R28" s="145"/>
      <c r="S28" s="145">
        <f>D28*R28%</f>
        <v>0</v>
      </c>
      <c r="T28" s="145"/>
      <c r="U28" s="145">
        <f t="shared" si="18"/>
        <v>0</v>
      </c>
      <c r="W28" s="80"/>
    </row>
    <row r="29" spans="2:23" x14ac:dyDescent="0.2">
      <c r="B29" s="137" t="s">
        <v>436</v>
      </c>
      <c r="C29" s="138" t="str">
        <f>ORÇAMENTO!C139</f>
        <v>REVESTIMENTO</v>
      </c>
      <c r="D29" s="135">
        <f>ORÇAMENTO!J139</f>
        <v>61355.454212122073</v>
      </c>
      <c r="E29" s="136">
        <f t="shared" si="10"/>
        <v>13.691624306155544</v>
      </c>
      <c r="F29" s="145"/>
      <c r="G29" s="145">
        <f t="shared" si="2"/>
        <v>0</v>
      </c>
      <c r="H29" s="143">
        <v>30</v>
      </c>
      <c r="I29" s="143">
        <f t="shared" si="3"/>
        <v>18406.636263636621</v>
      </c>
      <c r="J29" s="143">
        <v>70</v>
      </c>
      <c r="K29" s="143">
        <f t="shared" si="4"/>
        <v>42948.817948485448</v>
      </c>
      <c r="L29" s="145"/>
      <c r="M29" s="145">
        <f t="shared" si="5"/>
        <v>0</v>
      </c>
      <c r="N29" s="145"/>
      <c r="O29" s="145">
        <f t="shared" si="15"/>
        <v>0</v>
      </c>
      <c r="P29" s="145"/>
      <c r="Q29" s="145">
        <f t="shared" si="16"/>
        <v>0</v>
      </c>
      <c r="R29" s="145"/>
      <c r="S29" s="145">
        <f t="shared" si="17"/>
        <v>0</v>
      </c>
      <c r="T29" s="145"/>
      <c r="U29" s="145">
        <f t="shared" si="18"/>
        <v>0</v>
      </c>
      <c r="W29" s="80"/>
    </row>
    <row r="30" spans="2:23" x14ac:dyDescent="0.2">
      <c r="B30" s="137" t="s">
        <v>437</v>
      </c>
      <c r="C30" s="138" t="str">
        <f>ORÇAMENTO!C146</f>
        <v>PAVIMENTAÇÃO</v>
      </c>
      <c r="D30" s="135">
        <f>ORÇAMENTO!J146</f>
        <v>18653.8694388191</v>
      </c>
      <c r="E30" s="136">
        <f t="shared" si="10"/>
        <v>4.1626579982505882</v>
      </c>
      <c r="F30" s="145"/>
      <c r="G30" s="145">
        <f t="shared" si="2"/>
        <v>0</v>
      </c>
      <c r="H30" s="143">
        <v>50</v>
      </c>
      <c r="I30" s="143">
        <f t="shared" si="3"/>
        <v>9326.9347194095499</v>
      </c>
      <c r="J30" s="143">
        <v>20</v>
      </c>
      <c r="K30" s="143">
        <f t="shared" si="4"/>
        <v>3730.7738877638203</v>
      </c>
      <c r="L30" s="143">
        <v>30</v>
      </c>
      <c r="M30" s="143">
        <f t="shared" si="5"/>
        <v>5596.1608316457296</v>
      </c>
      <c r="N30" s="145"/>
      <c r="O30" s="145">
        <f t="shared" si="15"/>
        <v>0</v>
      </c>
      <c r="P30" s="145"/>
      <c r="Q30" s="145">
        <f t="shared" si="16"/>
        <v>0</v>
      </c>
      <c r="R30" s="145"/>
      <c r="S30" s="145">
        <f t="shared" si="17"/>
        <v>0</v>
      </c>
      <c r="T30" s="145"/>
      <c r="U30" s="145">
        <f t="shared" si="18"/>
        <v>0</v>
      </c>
      <c r="W30" s="80"/>
    </row>
    <row r="31" spans="2:23" ht="22.5" x14ac:dyDescent="0.2">
      <c r="B31" s="137" t="s">
        <v>473</v>
      </c>
      <c r="C31" s="138" t="str">
        <f>ORÇAMENTO!C151</f>
        <v>INSTALAÇÕES ELÉTRICAS</v>
      </c>
      <c r="D31" s="135">
        <f>ORÇAMENTO!J151</f>
        <v>54291.07414668479</v>
      </c>
      <c r="E31" s="136">
        <f t="shared" si="10"/>
        <v>12.115190082761723</v>
      </c>
      <c r="F31" s="145"/>
      <c r="G31" s="145">
        <f t="shared" si="2"/>
        <v>0</v>
      </c>
      <c r="H31" s="143">
        <v>10</v>
      </c>
      <c r="I31" s="143">
        <f t="shared" si="3"/>
        <v>5429.1074146684796</v>
      </c>
      <c r="J31" s="143">
        <v>10</v>
      </c>
      <c r="K31" s="143">
        <f t="shared" si="4"/>
        <v>5429.1074146684796</v>
      </c>
      <c r="L31" s="143">
        <v>20</v>
      </c>
      <c r="M31" s="143">
        <f t="shared" si="5"/>
        <v>10858.214829336959</v>
      </c>
      <c r="N31" s="143">
        <v>20</v>
      </c>
      <c r="O31" s="143">
        <f t="shared" si="15"/>
        <v>10858.214829336959</v>
      </c>
      <c r="P31" s="143">
        <v>30</v>
      </c>
      <c r="Q31" s="143">
        <f t="shared" si="16"/>
        <v>16287.322244005436</v>
      </c>
      <c r="R31" s="143">
        <v>10</v>
      </c>
      <c r="S31" s="143">
        <f t="shared" si="17"/>
        <v>5429.1074146684796</v>
      </c>
      <c r="T31" s="145"/>
      <c r="U31" s="145">
        <f t="shared" si="18"/>
        <v>0</v>
      </c>
      <c r="W31" s="80"/>
    </row>
    <row r="32" spans="2:23" ht="22.5" x14ac:dyDescent="0.2">
      <c r="B32" s="137" t="s">
        <v>589</v>
      </c>
      <c r="C32" s="138" t="str">
        <f>ORÇAMENTO!C192</f>
        <v>INSTALAÇÕES HIDRÁULICAS</v>
      </c>
      <c r="D32" s="135">
        <f>ORÇAMENTO!J192</f>
        <v>1434.227421313172</v>
      </c>
      <c r="E32" s="136">
        <f t="shared" si="10"/>
        <v>0.32005146525875655</v>
      </c>
      <c r="F32" s="145"/>
      <c r="G32" s="145">
        <f t="shared" si="2"/>
        <v>0</v>
      </c>
      <c r="H32" s="145"/>
      <c r="I32" s="145">
        <f t="shared" si="3"/>
        <v>0</v>
      </c>
      <c r="J32" s="143">
        <v>10</v>
      </c>
      <c r="K32" s="143">
        <f t="shared" si="4"/>
        <v>143.42274213131722</v>
      </c>
      <c r="L32" s="143">
        <v>10</v>
      </c>
      <c r="M32" s="143">
        <f t="shared" si="5"/>
        <v>143.42274213131722</v>
      </c>
      <c r="N32" s="143">
        <v>20</v>
      </c>
      <c r="O32" s="143">
        <f t="shared" si="15"/>
        <v>286.84548426263444</v>
      </c>
      <c r="P32" s="143">
        <v>60</v>
      </c>
      <c r="Q32" s="143">
        <f t="shared" si="16"/>
        <v>860.53645278790316</v>
      </c>
      <c r="R32" s="145"/>
      <c r="S32" s="145">
        <f t="shared" si="17"/>
        <v>0</v>
      </c>
      <c r="T32" s="145"/>
      <c r="U32" s="145">
        <f t="shared" si="18"/>
        <v>0</v>
      </c>
      <c r="W32" s="80"/>
    </row>
    <row r="33" spans="2:23" ht="22.5" x14ac:dyDescent="0.2">
      <c r="B33" s="137" t="s">
        <v>642</v>
      </c>
      <c r="C33" s="138" t="str">
        <f>ORÇAMENTO!C213</f>
        <v>INSTALAÇÕES SANITÁRIAS</v>
      </c>
      <c r="D33" s="135">
        <f>ORÇAMENTO!J213</f>
        <v>12791.942334844249</v>
      </c>
      <c r="E33" s="136">
        <f t="shared" si="10"/>
        <v>2.8545541850147451</v>
      </c>
      <c r="F33" s="145"/>
      <c r="G33" s="145">
        <f t="shared" si="2"/>
        <v>0</v>
      </c>
      <c r="H33" s="145"/>
      <c r="I33" s="145">
        <f t="shared" si="3"/>
        <v>0</v>
      </c>
      <c r="J33" s="143">
        <v>10</v>
      </c>
      <c r="K33" s="143">
        <f t="shared" si="4"/>
        <v>1279.194233484425</v>
      </c>
      <c r="L33" s="143">
        <v>10</v>
      </c>
      <c r="M33" s="143">
        <f t="shared" si="5"/>
        <v>1279.194233484425</v>
      </c>
      <c r="N33" s="143">
        <v>20</v>
      </c>
      <c r="O33" s="143">
        <f t="shared" si="15"/>
        <v>2558.38846696885</v>
      </c>
      <c r="P33" s="143">
        <v>60</v>
      </c>
      <c r="Q33" s="143">
        <f t="shared" si="16"/>
        <v>7675.1654009065487</v>
      </c>
      <c r="R33" s="145"/>
      <c r="S33" s="145">
        <f t="shared" si="17"/>
        <v>0</v>
      </c>
      <c r="T33" s="145"/>
      <c r="U33" s="145">
        <f t="shared" si="18"/>
        <v>0</v>
      </c>
      <c r="W33" s="80"/>
    </row>
    <row r="34" spans="2:23" ht="22.5" x14ac:dyDescent="0.2">
      <c r="B34" s="137" t="s">
        <v>698</v>
      </c>
      <c r="C34" s="138" t="str">
        <f>ORÇAMENTO!C237</f>
        <v>LOUÇAS E METAIS</v>
      </c>
      <c r="D34" s="135">
        <f>ORÇAMENTO!J237</f>
        <v>13539.786831840971</v>
      </c>
      <c r="E34" s="136">
        <f t="shared" si="10"/>
        <v>3.0214375700990659</v>
      </c>
      <c r="F34" s="145"/>
      <c r="G34" s="145">
        <f t="shared" si="2"/>
        <v>0</v>
      </c>
      <c r="H34" s="145"/>
      <c r="I34" s="145">
        <f t="shared" si="3"/>
        <v>0</v>
      </c>
      <c r="J34" s="145"/>
      <c r="K34" s="145">
        <f t="shared" si="4"/>
        <v>0</v>
      </c>
      <c r="L34" s="145"/>
      <c r="M34" s="145">
        <f t="shared" si="5"/>
        <v>0</v>
      </c>
      <c r="N34" s="145"/>
      <c r="O34" s="145">
        <f t="shared" si="15"/>
        <v>0</v>
      </c>
      <c r="P34" s="143">
        <v>40</v>
      </c>
      <c r="Q34" s="143">
        <f t="shared" si="16"/>
        <v>5415.9147327363889</v>
      </c>
      <c r="R34" s="145"/>
      <c r="S34" s="145">
        <f t="shared" si="17"/>
        <v>0</v>
      </c>
      <c r="T34" s="143">
        <v>60</v>
      </c>
      <c r="U34" s="143">
        <f t="shared" si="18"/>
        <v>8123.872099104582</v>
      </c>
      <c r="W34" s="80"/>
    </row>
    <row r="35" spans="2:23" x14ac:dyDescent="0.2">
      <c r="B35" s="137" t="s">
        <v>711</v>
      </c>
      <c r="C35" s="138" t="str">
        <f>ORÇAMENTO!C245</f>
        <v>PINTURA</v>
      </c>
      <c r="D35" s="135">
        <f>ORÇAMENTO!J245</f>
        <v>57762.374780921971</v>
      </c>
      <c r="E35" s="136">
        <f t="shared" si="10"/>
        <v>12.889819571663866</v>
      </c>
      <c r="F35" s="145"/>
      <c r="G35" s="145">
        <f t="shared" si="2"/>
        <v>0</v>
      </c>
      <c r="H35" s="145"/>
      <c r="I35" s="145">
        <f t="shared" si="3"/>
        <v>0</v>
      </c>
      <c r="J35" s="145"/>
      <c r="K35" s="145">
        <f t="shared" si="4"/>
        <v>0</v>
      </c>
      <c r="L35" s="145"/>
      <c r="M35" s="145">
        <f t="shared" si="5"/>
        <v>0</v>
      </c>
      <c r="N35" s="145"/>
      <c r="O35" s="145">
        <f t="shared" si="15"/>
        <v>0</v>
      </c>
      <c r="P35" s="143">
        <v>40</v>
      </c>
      <c r="Q35" s="143">
        <f t="shared" si="16"/>
        <v>23104.949912368789</v>
      </c>
      <c r="R35" s="145"/>
      <c r="S35" s="145">
        <f t="shared" si="17"/>
        <v>0</v>
      </c>
      <c r="T35" s="143">
        <v>60</v>
      </c>
      <c r="U35" s="143">
        <f t="shared" si="18"/>
        <v>34657.424868553178</v>
      </c>
      <c r="W35" s="80"/>
    </row>
    <row r="36" spans="2:23" ht="22.5" x14ac:dyDescent="0.2">
      <c r="B36" s="137" t="s">
        <v>724</v>
      </c>
      <c r="C36" s="138" t="str">
        <f>ORÇAMENTO!C254</f>
        <v>PREVENÇÃO A INCÊNDIO</v>
      </c>
      <c r="D36" s="135">
        <f>ORÇAMENTO!J254</f>
        <v>3649.5570992432531</v>
      </c>
      <c r="E36" s="136">
        <f t="shared" si="10"/>
        <v>0.81440786851561009</v>
      </c>
      <c r="F36" s="145"/>
      <c r="G36" s="145">
        <f t="shared" si="2"/>
        <v>0</v>
      </c>
      <c r="H36" s="145"/>
      <c r="I36" s="145">
        <f t="shared" si="3"/>
        <v>0</v>
      </c>
      <c r="J36" s="145"/>
      <c r="K36" s="145">
        <f t="shared" si="4"/>
        <v>0</v>
      </c>
      <c r="L36" s="145"/>
      <c r="M36" s="145">
        <f t="shared" si="5"/>
        <v>0</v>
      </c>
      <c r="N36" s="145"/>
      <c r="O36" s="145">
        <f t="shared" si="15"/>
        <v>0</v>
      </c>
      <c r="P36" s="145"/>
      <c r="Q36" s="145">
        <f t="shared" si="16"/>
        <v>0</v>
      </c>
      <c r="R36" s="145"/>
      <c r="S36" s="145">
        <f t="shared" si="17"/>
        <v>0</v>
      </c>
      <c r="T36" s="143">
        <v>100</v>
      </c>
      <c r="U36" s="143">
        <f t="shared" si="18"/>
        <v>3649.5570992432531</v>
      </c>
      <c r="W36" s="80"/>
    </row>
    <row r="37" spans="2:23" x14ac:dyDescent="0.2">
      <c r="B37" s="137" t="s">
        <v>733</v>
      </c>
      <c r="C37" s="138" t="str">
        <f>ORÇAMENTO!C258</f>
        <v>COMUNICAÇÃO</v>
      </c>
      <c r="D37" s="135">
        <f>ORÇAMENTO!J258</f>
        <v>29149.949431044181</v>
      </c>
      <c r="E37" s="136">
        <f t="shared" si="10"/>
        <v>6.5048847128318839</v>
      </c>
      <c r="F37" s="145"/>
      <c r="G37" s="145">
        <f t="shared" si="2"/>
        <v>0</v>
      </c>
      <c r="H37" s="145"/>
      <c r="I37" s="145">
        <f t="shared" si="3"/>
        <v>0</v>
      </c>
      <c r="J37" s="145"/>
      <c r="K37" s="145">
        <f t="shared" si="4"/>
        <v>0</v>
      </c>
      <c r="L37" s="143">
        <v>20</v>
      </c>
      <c r="M37" s="143">
        <f t="shared" si="5"/>
        <v>5829.9898862088367</v>
      </c>
      <c r="N37" s="143">
        <v>10</v>
      </c>
      <c r="O37" s="143">
        <f t="shared" si="15"/>
        <v>2914.9949431044183</v>
      </c>
      <c r="P37" s="143">
        <v>30</v>
      </c>
      <c r="Q37" s="143">
        <f t="shared" si="16"/>
        <v>8744.9848293132545</v>
      </c>
      <c r="R37" s="143">
        <v>40</v>
      </c>
      <c r="S37" s="143">
        <f t="shared" si="17"/>
        <v>11659.979772417673</v>
      </c>
      <c r="T37" s="145"/>
      <c r="U37" s="145">
        <f t="shared" si="18"/>
        <v>0</v>
      </c>
      <c r="W37" s="80"/>
    </row>
    <row r="38" spans="2:23" ht="22.5" x14ac:dyDescent="0.2">
      <c r="B38" s="133">
        <v>4</v>
      </c>
      <c r="C38" s="134" t="str">
        <f>ORÇAMENTO!C280</f>
        <v>ABASTECIMENTO DE ÁGUA</v>
      </c>
      <c r="D38" s="140">
        <f>SUM(D39:D39)</f>
        <v>5402.6952311183886</v>
      </c>
      <c r="E38" s="140">
        <f>ORÇAMENTO!K280</f>
        <v>1.2056250629225478</v>
      </c>
      <c r="F38" s="140"/>
      <c r="G38" s="140">
        <f>SUM(G39:G39)</f>
        <v>0</v>
      </c>
      <c r="H38" s="140"/>
      <c r="I38" s="140">
        <f>SUM(I39:I39)</f>
        <v>0</v>
      </c>
      <c r="J38" s="140"/>
      <c r="K38" s="140">
        <f>SUM(K39:K39)</f>
        <v>540.26952311183891</v>
      </c>
      <c r="L38" s="140"/>
      <c r="M38" s="140">
        <f>SUM(M39:M39)</f>
        <v>1080.5390462236778</v>
      </c>
      <c r="N38" s="140"/>
      <c r="O38" s="140">
        <f>SUM(O39:O39)</f>
        <v>2161.0780924473556</v>
      </c>
      <c r="P38" s="140"/>
      <c r="Q38" s="140">
        <f>SUM(Q39:Q39)</f>
        <v>1620.8085693355165</v>
      </c>
      <c r="R38" s="140"/>
      <c r="S38" s="140">
        <f>SUM(S39:S39)</f>
        <v>0</v>
      </c>
      <c r="T38" s="140"/>
      <c r="U38" s="140">
        <f>SUM(U39:U39)</f>
        <v>0</v>
      </c>
      <c r="W38" s="80"/>
    </row>
    <row r="39" spans="2:23" ht="22.5" x14ac:dyDescent="0.2">
      <c r="B39" s="137" t="s">
        <v>34</v>
      </c>
      <c r="C39" s="138" t="str">
        <f>ORÇAMENTO!C281</f>
        <v>RESERVATÓRIO SUPERIOR</v>
      </c>
      <c r="D39" s="135">
        <f>ORÇAMENTO!J281</f>
        <v>5402.6952311183886</v>
      </c>
      <c r="E39" s="156">
        <f>D39/$D$43*100</f>
        <v>1.2056250629225478</v>
      </c>
      <c r="F39" s="145"/>
      <c r="G39" s="145">
        <f t="shared" si="2"/>
        <v>0</v>
      </c>
      <c r="H39" s="145"/>
      <c r="I39" s="145">
        <f t="shared" si="3"/>
        <v>0</v>
      </c>
      <c r="J39" s="143">
        <v>10</v>
      </c>
      <c r="K39" s="143">
        <f t="shared" si="4"/>
        <v>540.26952311183891</v>
      </c>
      <c r="L39" s="143">
        <v>20</v>
      </c>
      <c r="M39" s="143">
        <f t="shared" si="5"/>
        <v>1080.5390462236778</v>
      </c>
      <c r="N39" s="143">
        <v>40</v>
      </c>
      <c r="O39" s="143">
        <f t="shared" ref="O39" si="19">D39*N39%</f>
        <v>2161.0780924473556</v>
      </c>
      <c r="P39" s="143">
        <v>30</v>
      </c>
      <c r="Q39" s="143">
        <f t="shared" ref="Q39" si="20">D39*P39%</f>
        <v>1620.8085693355165</v>
      </c>
      <c r="R39" s="145"/>
      <c r="S39" s="145">
        <f t="shared" ref="S39" si="21">D39*R39%</f>
        <v>0</v>
      </c>
      <c r="T39" s="145"/>
      <c r="U39" s="145">
        <f t="shared" ref="U39" si="22">D39*T39%</f>
        <v>0</v>
      </c>
      <c r="W39" s="80"/>
    </row>
    <row r="40" spans="2:23" ht="22.5" x14ac:dyDescent="0.2">
      <c r="B40" s="133">
        <v>5</v>
      </c>
      <c r="C40" s="134" t="str">
        <f>ORÇAMENTO!C291</f>
        <v>MURO DE CONTORNO</v>
      </c>
      <c r="D40" s="139">
        <f>ORÇAMENTO!J291</f>
        <v>33500.581293913965</v>
      </c>
      <c r="E40" s="140">
        <f>ORÇAMENTO!K291</f>
        <v>7.4757391825072776</v>
      </c>
      <c r="F40" s="140"/>
      <c r="G40" s="140">
        <f t="shared" si="2"/>
        <v>0</v>
      </c>
      <c r="H40" s="140"/>
      <c r="I40" s="140">
        <f t="shared" si="3"/>
        <v>0</v>
      </c>
      <c r="J40" s="140"/>
      <c r="K40" s="140">
        <f t="shared" si="4"/>
        <v>0</v>
      </c>
      <c r="L40" s="140"/>
      <c r="M40" s="140">
        <f t="shared" si="5"/>
        <v>0</v>
      </c>
      <c r="N40" s="140"/>
      <c r="O40" s="140">
        <f t="shared" ref="O40" si="23">D40*N40%</f>
        <v>0</v>
      </c>
      <c r="P40" s="140"/>
      <c r="Q40" s="140">
        <f t="shared" ref="Q40" si="24">D40*P40%</f>
        <v>0</v>
      </c>
      <c r="R40" s="142">
        <v>100</v>
      </c>
      <c r="S40" s="142">
        <f t="shared" ref="S40" si="25">D40*R40%</f>
        <v>33500.581293913965</v>
      </c>
      <c r="T40" s="140"/>
      <c r="U40" s="140">
        <f t="shared" ref="U40" si="26">D40*T40%</f>
        <v>0</v>
      </c>
      <c r="W40" s="80"/>
    </row>
    <row r="41" spans="2:23" ht="56.25" x14ac:dyDescent="0.2">
      <c r="B41" s="133">
        <v>6</v>
      </c>
      <c r="C41" s="134" t="str">
        <f>ORÇAMENTO!C305</f>
        <v>CALÇADAS, RAMPA E EXTENSÃO DA ESCADA DE ACESSO</v>
      </c>
      <c r="D41" s="139">
        <f>ORÇAMENTO!J305</f>
        <v>21065.763373563048</v>
      </c>
      <c r="E41" s="141">
        <f>ORÇAMENTO!K305</f>
        <v>4.7008782110232126</v>
      </c>
      <c r="F41" s="141"/>
      <c r="G41" s="141">
        <f>D41*F41%</f>
        <v>0</v>
      </c>
      <c r="H41" s="141"/>
      <c r="I41" s="141">
        <f>D41*H41%</f>
        <v>0</v>
      </c>
      <c r="J41" s="141"/>
      <c r="K41" s="141">
        <f>D41*J41%</f>
        <v>0</v>
      </c>
      <c r="L41" s="141"/>
      <c r="M41" s="141">
        <f>D41*L41%</f>
        <v>0</v>
      </c>
      <c r="N41" s="142">
        <v>80</v>
      </c>
      <c r="O41" s="142">
        <f>D41*N41%</f>
        <v>16852.61069885044</v>
      </c>
      <c r="P41" s="142">
        <v>20</v>
      </c>
      <c r="Q41" s="142">
        <f>D41*P41%</f>
        <v>4213.15267471261</v>
      </c>
      <c r="R41" s="140"/>
      <c r="S41" s="140">
        <f>D41*R41%</f>
        <v>0</v>
      </c>
      <c r="T41" s="140"/>
      <c r="U41" s="140">
        <f>D41*T41/100</f>
        <v>0</v>
      </c>
      <c r="W41" s="80"/>
    </row>
    <row r="42" spans="2:23" x14ac:dyDescent="0.2">
      <c r="B42" s="133">
        <v>7</v>
      </c>
      <c r="C42" s="134" t="str">
        <f>ORÇAMENTO!C328</f>
        <v>COMPLEMENTOS</v>
      </c>
      <c r="D42" s="139">
        <f>ORÇAMENTO!J328</f>
        <v>1353.6703289868692</v>
      </c>
      <c r="E42" s="141">
        <f>ORÇAMENTO!K328</f>
        <v>0.30207494699332565</v>
      </c>
      <c r="F42" s="141"/>
      <c r="G42" s="141">
        <f>D42*F42%</f>
        <v>0</v>
      </c>
      <c r="H42" s="141"/>
      <c r="I42" s="141">
        <f>D42*H42%</f>
        <v>0</v>
      </c>
      <c r="J42" s="141"/>
      <c r="K42" s="141">
        <f>D42*J42%</f>
        <v>0</v>
      </c>
      <c r="L42" s="141"/>
      <c r="M42" s="141">
        <f>D42*L42%</f>
        <v>0</v>
      </c>
      <c r="N42" s="142">
        <v>80</v>
      </c>
      <c r="O42" s="142">
        <f>D42*N42%</f>
        <v>1082.9362631894953</v>
      </c>
      <c r="P42" s="142"/>
      <c r="Q42" s="140">
        <f>D42*P42%</f>
        <v>0</v>
      </c>
      <c r="R42" s="140"/>
      <c r="S42" s="140">
        <f>D42*R42%</f>
        <v>0</v>
      </c>
      <c r="T42" s="142">
        <v>20</v>
      </c>
      <c r="U42" s="142">
        <f>D42*T42/100</f>
        <v>270.73406579737383</v>
      </c>
      <c r="W42" s="80"/>
    </row>
    <row r="43" spans="2:23" x14ac:dyDescent="0.2">
      <c r="B43" s="238" t="s">
        <v>844</v>
      </c>
      <c r="C43" s="238"/>
      <c r="D43" s="221">
        <f>D12+D13+D25+D38+D40+D41+D42</f>
        <v>448123.99785566423</v>
      </c>
      <c r="E43" s="222">
        <f>E12+E13+E25+E38+E40+E41+E42</f>
        <v>100</v>
      </c>
      <c r="F43" s="222">
        <f>G43/D43*100</f>
        <v>11.80693566207545</v>
      </c>
      <c r="G43" s="220">
        <f>G12+G13+G25+G38+G40+G41+G42</f>
        <v>52909.712113138645</v>
      </c>
      <c r="H43" s="222">
        <f>I43/D43*100</f>
        <v>13.164879291862148</v>
      </c>
      <c r="I43" s="220">
        <f>I12+I13+I25+I38+I40+I41+I42</f>
        <v>58994.983395565112</v>
      </c>
      <c r="J43" s="222">
        <f>K43/D43*100</f>
        <v>13.654159655215297</v>
      </c>
      <c r="K43" s="220">
        <f>K12+K13+K25+K38+K40+K41+K42</f>
        <v>61187.566120545969</v>
      </c>
      <c r="L43" s="222">
        <f>M43/D43*100</f>
        <v>12.088281199884962</v>
      </c>
      <c r="M43" s="220">
        <f>M12+M13+M25+M38+M40+M41+M42</f>
        <v>54170.488984959149</v>
      </c>
      <c r="N43" s="222">
        <f>O43/D43*100</f>
        <v>11.166172341557662</v>
      </c>
      <c r="O43" s="220">
        <f>O12+O13+O25+O38+O40+O41+O42</f>
        <v>50038.297904441628</v>
      </c>
      <c r="P43" s="222">
        <f>Q43/D43*100</f>
        <v>15.410904280888548</v>
      </c>
      <c r="Q43" s="220">
        <f>Q12+Q13+Q25+Q38+Q40+Q41+Q42</f>
        <v>69059.960369227469</v>
      </c>
      <c r="R43" s="222">
        <f>S43/D43*100</f>
        <v>11.364583006619782</v>
      </c>
      <c r="S43" s="220">
        <f>S12+S13+S25+S38+S40+S41+S42</f>
        <v>50927.423708890012</v>
      </c>
      <c r="T43" s="222">
        <f>U43/D43*100</f>
        <v>11.344084561896151</v>
      </c>
      <c r="U43" s="220">
        <f>U12+U13+U25+U38+U40+U41+U42</f>
        <v>50835.565258896248</v>
      </c>
      <c r="W43" s="80"/>
    </row>
    <row r="44" spans="2:23" x14ac:dyDescent="0.2">
      <c r="B44" s="238" t="s">
        <v>845</v>
      </c>
      <c r="C44" s="238"/>
      <c r="D44" s="221">
        <f>D43</f>
        <v>448123.99785566423</v>
      </c>
      <c r="E44" s="222">
        <f>E43</f>
        <v>100</v>
      </c>
      <c r="F44" s="222">
        <f>F43</f>
        <v>11.80693566207545</v>
      </c>
      <c r="G44" s="222">
        <f>G43</f>
        <v>52909.712113138645</v>
      </c>
      <c r="H44" s="222">
        <f t="shared" ref="H44:J44" si="27">F44+H43</f>
        <v>24.971814953937596</v>
      </c>
      <c r="I44" s="222">
        <f t="shared" si="27"/>
        <v>111904.69550870376</v>
      </c>
      <c r="J44" s="222">
        <f t="shared" si="27"/>
        <v>38.625974609152891</v>
      </c>
      <c r="K44" s="222">
        <f t="shared" ref="K44:U44" si="28">I44+K43</f>
        <v>173092.26162924973</v>
      </c>
      <c r="L44" s="222">
        <f t="shared" si="28"/>
        <v>50.714255809037851</v>
      </c>
      <c r="M44" s="222">
        <f t="shared" si="28"/>
        <v>227262.75061420887</v>
      </c>
      <c r="N44" s="222">
        <f t="shared" si="28"/>
        <v>61.880428150595513</v>
      </c>
      <c r="O44" s="222">
        <f t="shared" si="28"/>
        <v>277301.04851865047</v>
      </c>
      <c r="P44" s="222">
        <f t="shared" si="28"/>
        <v>77.291332431484065</v>
      </c>
      <c r="Q44" s="222">
        <f t="shared" si="28"/>
        <v>346361.00888787792</v>
      </c>
      <c r="R44" s="222">
        <f t="shared" si="28"/>
        <v>88.655915438103847</v>
      </c>
      <c r="S44" s="222">
        <f t="shared" si="28"/>
        <v>397288.4325967679</v>
      </c>
      <c r="T44" s="222">
        <f t="shared" si="28"/>
        <v>100</v>
      </c>
      <c r="U44" s="222">
        <f t="shared" si="28"/>
        <v>448123.99785566417</v>
      </c>
    </row>
    <row r="45" spans="2:23" x14ac:dyDescent="0.2">
      <c r="W45" s="80"/>
    </row>
    <row r="48" spans="2:23" x14ac:dyDescent="0.2">
      <c r="W48" s="80"/>
    </row>
  </sheetData>
  <mergeCells count="10">
    <mergeCell ref="E10:E11"/>
    <mergeCell ref="F10:U10"/>
    <mergeCell ref="B6:U6"/>
    <mergeCell ref="B4:U4"/>
    <mergeCell ref="B8:U8"/>
    <mergeCell ref="B43:C43"/>
    <mergeCell ref="B44:C44"/>
    <mergeCell ref="B10:B11"/>
    <mergeCell ref="C10:C11"/>
    <mergeCell ref="D10:D11"/>
  </mergeCells>
  <phoneticPr fontId="6" type="noConversion"/>
  <pageMargins left="0.11811023622047245" right="0.11811023622047245" top="0.59055118110236227" bottom="0.9055118110236221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47"/>
  <sheetViews>
    <sheetView topLeftCell="A37" workbookViewId="0">
      <selection activeCell="C6" sqref="C6"/>
    </sheetView>
  </sheetViews>
  <sheetFormatPr defaultRowHeight="14.25" x14ac:dyDescent="0.2"/>
  <cols>
    <col min="1" max="1" width="2.125" style="22" customWidth="1"/>
    <col min="2" max="2" width="11.25" style="22" customWidth="1"/>
    <col min="3" max="3" width="9.625" style="22" customWidth="1"/>
    <col min="4" max="4" width="53" style="22" customWidth="1"/>
    <col min="5" max="5" width="9" style="22"/>
    <col min="6" max="6" width="17" style="22" customWidth="1"/>
    <col min="7" max="7" width="11.625" style="22" customWidth="1"/>
    <col min="8" max="8" width="11.75" style="22" customWidth="1"/>
    <col min="9" max="16384" width="9" style="22"/>
  </cols>
  <sheetData>
    <row r="5" spans="2:8" x14ac:dyDescent="0.2">
      <c r="B5" s="246"/>
      <c r="C5" s="246"/>
      <c r="D5" s="246"/>
      <c r="E5" s="246"/>
      <c r="F5" s="246"/>
      <c r="G5" s="246"/>
      <c r="H5" s="246"/>
    </row>
    <row r="7" spans="2:8" ht="15.75" x14ac:dyDescent="0.2">
      <c r="B7" s="247" t="s">
        <v>178</v>
      </c>
      <c r="C7" s="248"/>
      <c r="D7" s="248"/>
      <c r="E7" s="248"/>
      <c r="F7" s="248"/>
      <c r="G7" s="248"/>
      <c r="H7" s="248"/>
    </row>
    <row r="9" spans="2:8" x14ac:dyDescent="0.2">
      <c r="B9" s="249" t="s">
        <v>96</v>
      </c>
      <c r="C9" s="249"/>
      <c r="D9" s="249"/>
      <c r="E9" s="249"/>
      <c r="F9" s="249"/>
      <c r="G9" s="249"/>
      <c r="H9" s="249"/>
    </row>
    <row r="11" spans="2:8" x14ac:dyDescent="0.2">
      <c r="B11" s="250" t="s">
        <v>184</v>
      </c>
      <c r="C11" s="250" t="s">
        <v>97</v>
      </c>
      <c r="D11" s="252" t="s">
        <v>98</v>
      </c>
      <c r="E11" s="250" t="s">
        <v>5</v>
      </c>
      <c r="F11" s="254" t="s">
        <v>99</v>
      </c>
      <c r="G11" s="256" t="s">
        <v>43</v>
      </c>
      <c r="H11" s="256"/>
    </row>
    <row r="12" spans="2:8" x14ac:dyDescent="0.2">
      <c r="B12" s="251"/>
      <c r="C12" s="251"/>
      <c r="D12" s="253"/>
      <c r="E12" s="251"/>
      <c r="F12" s="255"/>
      <c r="G12" s="102" t="s">
        <v>100</v>
      </c>
      <c r="H12" s="103" t="s">
        <v>101</v>
      </c>
    </row>
    <row r="13" spans="2:8" ht="25.5" x14ac:dyDescent="0.2">
      <c r="B13" s="88" t="s">
        <v>180</v>
      </c>
      <c r="C13" s="89" t="s">
        <v>185</v>
      </c>
      <c r="D13" s="90" t="s">
        <v>186</v>
      </c>
      <c r="E13" s="88" t="s">
        <v>191</v>
      </c>
      <c r="F13" s="91"/>
      <c r="G13" s="92"/>
      <c r="H13" s="92"/>
    </row>
    <row r="14" spans="2:8" ht="25.5" x14ac:dyDescent="0.2">
      <c r="B14" s="93" t="s">
        <v>153</v>
      </c>
      <c r="C14" s="94" t="s">
        <v>187</v>
      </c>
      <c r="D14" s="95" t="s">
        <v>188</v>
      </c>
      <c r="E14" s="96" t="s">
        <v>41</v>
      </c>
      <c r="F14" s="97">
        <v>250</v>
      </c>
      <c r="G14" s="98">
        <v>0.88</v>
      </c>
      <c r="H14" s="98">
        <f>F14*G14</f>
        <v>220</v>
      </c>
    </row>
    <row r="15" spans="2:8" ht="25.5" x14ac:dyDescent="0.2">
      <c r="B15" s="96" t="s">
        <v>155</v>
      </c>
      <c r="C15" s="94" t="s">
        <v>189</v>
      </c>
      <c r="D15" s="99" t="s">
        <v>190</v>
      </c>
      <c r="E15" s="96" t="s">
        <v>191</v>
      </c>
      <c r="F15" s="97">
        <v>0.17</v>
      </c>
      <c r="G15" s="98">
        <v>609.77</v>
      </c>
      <c r="H15" s="98">
        <f t="shared" ref="H15:H17" si="0">F15*G15</f>
        <v>103.6609</v>
      </c>
    </row>
    <row r="16" spans="2:8" x14ac:dyDescent="0.2">
      <c r="B16" s="96" t="s">
        <v>155</v>
      </c>
      <c r="C16" s="94" t="s">
        <v>192</v>
      </c>
      <c r="D16" s="100" t="s">
        <v>193</v>
      </c>
      <c r="E16" s="96" t="s">
        <v>156</v>
      </c>
      <c r="F16" s="97">
        <v>7.5</v>
      </c>
      <c r="G16" s="98">
        <v>24.62</v>
      </c>
      <c r="H16" s="98">
        <f t="shared" si="0"/>
        <v>184.65</v>
      </c>
    </row>
    <row r="17" spans="2:11" x14ac:dyDescent="0.2">
      <c r="B17" s="96" t="s">
        <v>155</v>
      </c>
      <c r="C17" s="94" t="s">
        <v>194</v>
      </c>
      <c r="D17" s="100" t="s">
        <v>157</v>
      </c>
      <c r="E17" s="96" t="s">
        <v>156</v>
      </c>
      <c r="F17" s="97">
        <v>7.5</v>
      </c>
      <c r="G17" s="98">
        <v>19.61</v>
      </c>
      <c r="H17" s="98">
        <f t="shared" si="0"/>
        <v>147.07499999999999</v>
      </c>
    </row>
    <row r="18" spans="2:11" ht="15.75" x14ac:dyDescent="0.2">
      <c r="B18" s="257" t="s">
        <v>195</v>
      </c>
      <c r="C18" s="258"/>
      <c r="D18" s="258"/>
      <c r="E18" s="258"/>
      <c r="F18" s="258"/>
      <c r="G18" s="259"/>
      <c r="H18" s="101">
        <f>SUM(H14:H17)</f>
        <v>655.38589999999999</v>
      </c>
    </row>
    <row r="19" spans="2:11" ht="38.25" x14ac:dyDescent="0.2">
      <c r="B19" s="154" t="s">
        <v>205</v>
      </c>
      <c r="C19" s="155" t="s">
        <v>939</v>
      </c>
      <c r="D19" s="152" t="s">
        <v>938</v>
      </c>
      <c r="E19" s="155" t="s">
        <v>333</v>
      </c>
      <c r="F19" s="152"/>
      <c r="G19" s="152"/>
      <c r="H19" s="153"/>
      <c r="I19" s="151"/>
      <c r="J19" s="151"/>
      <c r="K19" s="151"/>
    </row>
    <row r="20" spans="2:11" ht="38.25" x14ac:dyDescent="0.2">
      <c r="B20" s="148" t="s">
        <v>155</v>
      </c>
      <c r="C20" s="96">
        <v>94970</v>
      </c>
      <c r="D20" s="149" t="s">
        <v>928</v>
      </c>
      <c r="E20" s="96" t="s">
        <v>191</v>
      </c>
      <c r="F20" s="150">
        <f>0.2*0.2</f>
        <v>4.0000000000000008E-2</v>
      </c>
      <c r="G20" s="96">
        <v>468.76</v>
      </c>
      <c r="H20" s="98">
        <f t="shared" ref="H20:H26" si="1">F20*G20</f>
        <v>18.750400000000003</v>
      </c>
    </row>
    <row r="21" spans="2:11" x14ac:dyDescent="0.2">
      <c r="B21" s="148" t="s">
        <v>155</v>
      </c>
      <c r="C21" s="96">
        <v>92802</v>
      </c>
      <c r="D21" s="149" t="s">
        <v>929</v>
      </c>
      <c r="E21" s="96" t="s">
        <v>932</v>
      </c>
      <c r="F21" s="150">
        <v>0.7</v>
      </c>
      <c r="G21" s="96">
        <v>8.66</v>
      </c>
      <c r="H21" s="98">
        <f t="shared" si="1"/>
        <v>6.0619999999999994</v>
      </c>
    </row>
    <row r="22" spans="2:11" ht="25.5" x14ac:dyDescent="0.2">
      <c r="B22" s="148" t="s">
        <v>155</v>
      </c>
      <c r="C22" s="96">
        <v>92270</v>
      </c>
      <c r="D22" s="149" t="s">
        <v>930</v>
      </c>
      <c r="E22" s="96" t="s">
        <v>154</v>
      </c>
      <c r="F22" s="150">
        <v>0.4</v>
      </c>
      <c r="G22" s="96">
        <v>154.49</v>
      </c>
      <c r="H22" s="98">
        <f t="shared" si="1"/>
        <v>61.796000000000006</v>
      </c>
    </row>
    <row r="23" spans="2:11" x14ac:dyDescent="0.2">
      <c r="B23" s="148" t="s">
        <v>155</v>
      </c>
      <c r="C23" s="96" t="s">
        <v>926</v>
      </c>
      <c r="D23" s="149" t="s">
        <v>193</v>
      </c>
      <c r="E23" s="96" t="s">
        <v>156</v>
      </c>
      <c r="F23" s="150">
        <v>0.36</v>
      </c>
      <c r="G23" s="98">
        <f>G16</f>
        <v>24.62</v>
      </c>
      <c r="H23" s="98">
        <f t="shared" si="1"/>
        <v>8.8632000000000009</v>
      </c>
    </row>
    <row r="24" spans="2:11" x14ac:dyDescent="0.2">
      <c r="B24" s="148" t="s">
        <v>155</v>
      </c>
      <c r="C24" s="96" t="s">
        <v>927</v>
      </c>
      <c r="D24" s="149" t="s">
        <v>157</v>
      </c>
      <c r="E24" s="96" t="s">
        <v>156</v>
      </c>
      <c r="F24" s="150">
        <v>0.18</v>
      </c>
      <c r="G24" s="98">
        <f>G17</f>
        <v>19.61</v>
      </c>
      <c r="H24" s="98">
        <f t="shared" si="1"/>
        <v>3.5297999999999998</v>
      </c>
    </row>
    <row r="25" spans="2:11" ht="25.5" x14ac:dyDescent="0.2">
      <c r="B25" s="96" t="s">
        <v>153</v>
      </c>
      <c r="C25" s="94" t="s">
        <v>936</v>
      </c>
      <c r="D25" s="149" t="s">
        <v>931</v>
      </c>
      <c r="E25" s="96" t="s">
        <v>933</v>
      </c>
      <c r="F25" s="150">
        <v>3.5000000000000001E-3</v>
      </c>
      <c r="G25" s="96">
        <v>8.64</v>
      </c>
      <c r="H25" s="98">
        <f t="shared" si="1"/>
        <v>3.0240000000000003E-2</v>
      </c>
    </row>
    <row r="26" spans="2:11" ht="25.5" x14ac:dyDescent="0.2">
      <c r="B26" s="96" t="s">
        <v>153</v>
      </c>
      <c r="C26" s="94" t="s">
        <v>937</v>
      </c>
      <c r="D26" s="149" t="s">
        <v>935</v>
      </c>
      <c r="E26" s="96" t="s">
        <v>151</v>
      </c>
      <c r="F26" s="150">
        <v>6</v>
      </c>
      <c r="G26" s="96">
        <v>0.22</v>
      </c>
      <c r="H26" s="98">
        <f t="shared" si="1"/>
        <v>1.32</v>
      </c>
    </row>
    <row r="27" spans="2:11" ht="15.75" x14ac:dyDescent="0.2">
      <c r="B27" s="257" t="s">
        <v>195</v>
      </c>
      <c r="C27" s="258"/>
      <c r="D27" s="258"/>
      <c r="E27" s="258"/>
      <c r="F27" s="258"/>
      <c r="G27" s="259"/>
      <c r="H27" s="101">
        <f>SUM(H20:H26)</f>
        <v>100.35164000000002</v>
      </c>
    </row>
    <row r="28" spans="2:11" ht="38.25" x14ac:dyDescent="0.2">
      <c r="B28" s="154" t="s">
        <v>223</v>
      </c>
      <c r="C28" s="155" t="s">
        <v>939</v>
      </c>
      <c r="D28" s="152" t="s">
        <v>938</v>
      </c>
      <c r="E28" s="155" t="s">
        <v>333</v>
      </c>
      <c r="F28" s="152"/>
      <c r="G28" s="152"/>
      <c r="H28" s="153"/>
    </row>
    <row r="29" spans="2:11" ht="38.25" x14ac:dyDescent="0.2">
      <c r="B29" s="148" t="s">
        <v>155</v>
      </c>
      <c r="C29" s="96">
        <v>94970</v>
      </c>
      <c r="D29" s="149" t="s">
        <v>928</v>
      </c>
      <c r="E29" s="96" t="s">
        <v>191</v>
      </c>
      <c r="F29" s="150">
        <f>0.1*0.2</f>
        <v>2.0000000000000004E-2</v>
      </c>
      <c r="G29" s="96">
        <v>468.76</v>
      </c>
      <c r="H29" s="98">
        <f t="shared" ref="H29:H35" si="2">F29*G29</f>
        <v>9.3752000000000013</v>
      </c>
    </row>
    <row r="30" spans="2:11" x14ac:dyDescent="0.2">
      <c r="B30" s="148" t="s">
        <v>155</v>
      </c>
      <c r="C30" s="96">
        <v>92802</v>
      </c>
      <c r="D30" s="149" t="s">
        <v>929</v>
      </c>
      <c r="E30" s="96" t="s">
        <v>932</v>
      </c>
      <c r="F30" s="150">
        <v>0.7</v>
      </c>
      <c r="G30" s="96">
        <v>8.66</v>
      </c>
      <c r="H30" s="98">
        <f t="shared" si="2"/>
        <v>6.0619999999999994</v>
      </c>
    </row>
    <row r="31" spans="2:11" ht="25.5" x14ac:dyDescent="0.2">
      <c r="B31" s="148" t="s">
        <v>155</v>
      </c>
      <c r="C31" s="96">
        <v>92270</v>
      </c>
      <c r="D31" s="149" t="s">
        <v>930</v>
      </c>
      <c r="E31" s="96" t="s">
        <v>154</v>
      </c>
      <c r="F31" s="150">
        <f>0.2*2</f>
        <v>0.4</v>
      </c>
      <c r="G31" s="96">
        <v>154.49</v>
      </c>
      <c r="H31" s="98">
        <f t="shared" si="2"/>
        <v>61.796000000000006</v>
      </c>
    </row>
    <row r="32" spans="2:11" x14ac:dyDescent="0.2">
      <c r="B32" s="148" t="s">
        <v>155</v>
      </c>
      <c r="C32" s="96" t="s">
        <v>926</v>
      </c>
      <c r="D32" s="149" t="s">
        <v>193</v>
      </c>
      <c r="E32" s="96" t="s">
        <v>156</v>
      </c>
      <c r="F32" s="150">
        <v>0.36</v>
      </c>
      <c r="G32" s="98">
        <f>G23</f>
        <v>24.62</v>
      </c>
      <c r="H32" s="98">
        <f t="shared" si="2"/>
        <v>8.8632000000000009</v>
      </c>
    </row>
    <row r="33" spans="2:8" x14ac:dyDescent="0.2">
      <c r="B33" s="148" t="s">
        <v>155</v>
      </c>
      <c r="C33" s="96" t="s">
        <v>927</v>
      </c>
      <c r="D33" s="149" t="s">
        <v>157</v>
      </c>
      <c r="E33" s="96" t="s">
        <v>156</v>
      </c>
      <c r="F33" s="150">
        <v>0.18</v>
      </c>
      <c r="G33" s="98">
        <f>G24</f>
        <v>19.61</v>
      </c>
      <c r="H33" s="98">
        <f t="shared" si="2"/>
        <v>3.5297999999999998</v>
      </c>
    </row>
    <row r="34" spans="2:8" ht="25.5" x14ac:dyDescent="0.2">
      <c r="B34" s="96" t="s">
        <v>153</v>
      </c>
      <c r="C34" s="94" t="s">
        <v>936</v>
      </c>
      <c r="D34" s="149" t="s">
        <v>931</v>
      </c>
      <c r="E34" s="96" t="s">
        <v>933</v>
      </c>
      <c r="F34" s="150">
        <v>3.5000000000000001E-3</v>
      </c>
      <c r="G34" s="96">
        <v>8.64</v>
      </c>
      <c r="H34" s="98">
        <f t="shared" si="2"/>
        <v>3.0240000000000003E-2</v>
      </c>
    </row>
    <row r="35" spans="2:8" ht="25.5" x14ac:dyDescent="0.2">
      <c r="B35" s="96" t="s">
        <v>153</v>
      </c>
      <c r="C35" s="94" t="s">
        <v>937</v>
      </c>
      <c r="D35" s="149" t="s">
        <v>935</v>
      </c>
      <c r="E35" s="96" t="s">
        <v>151</v>
      </c>
      <c r="F35" s="150">
        <v>6</v>
      </c>
      <c r="G35" s="96">
        <v>0.22</v>
      </c>
      <c r="H35" s="98">
        <f t="shared" si="2"/>
        <v>1.32</v>
      </c>
    </row>
    <row r="36" spans="2:8" ht="15.75" x14ac:dyDescent="0.2">
      <c r="B36" s="257" t="s">
        <v>195</v>
      </c>
      <c r="C36" s="258"/>
      <c r="D36" s="258"/>
      <c r="E36" s="258"/>
      <c r="F36" s="258"/>
      <c r="G36" s="259"/>
      <c r="H36" s="101">
        <f>SUM(H29:H35)</f>
        <v>90.976440000000011</v>
      </c>
    </row>
    <row r="37" spans="2:8" ht="51" x14ac:dyDescent="0.2">
      <c r="B37" s="67" t="s">
        <v>436</v>
      </c>
      <c r="C37" s="67" t="s">
        <v>876</v>
      </c>
      <c r="D37" s="68" t="s">
        <v>881</v>
      </c>
      <c r="E37" s="67" t="s">
        <v>151</v>
      </c>
      <c r="F37" s="69" t="s">
        <v>152</v>
      </c>
      <c r="G37" s="52"/>
      <c r="H37" s="52"/>
    </row>
    <row r="38" spans="2:8" ht="25.5" x14ac:dyDescent="0.2">
      <c r="B38" s="70" t="s">
        <v>155</v>
      </c>
      <c r="C38" s="71" t="s">
        <v>877</v>
      </c>
      <c r="D38" s="72" t="s">
        <v>879</v>
      </c>
      <c r="E38" s="70" t="s">
        <v>191</v>
      </c>
      <c r="F38" s="73">
        <v>2.1999999999999999E-2</v>
      </c>
      <c r="G38" s="63">
        <v>647.87</v>
      </c>
      <c r="H38" s="63">
        <f t="shared" ref="H38:H42" si="3">F38*G38</f>
        <v>14.25314</v>
      </c>
    </row>
    <row r="39" spans="2:8" x14ac:dyDescent="0.2">
      <c r="B39" s="70" t="s">
        <v>155</v>
      </c>
      <c r="C39" s="71" t="s">
        <v>878</v>
      </c>
      <c r="D39" s="72" t="s">
        <v>880</v>
      </c>
      <c r="E39" s="70" t="s">
        <v>156</v>
      </c>
      <c r="F39" s="73">
        <v>0.22700000000000001</v>
      </c>
      <c r="G39" s="63">
        <v>23.37</v>
      </c>
      <c r="H39" s="63">
        <f t="shared" si="3"/>
        <v>5.3049900000000001</v>
      </c>
    </row>
    <row r="40" spans="2:8" x14ac:dyDescent="0.2">
      <c r="B40" s="70" t="s">
        <v>155</v>
      </c>
      <c r="C40" s="71" t="s">
        <v>192</v>
      </c>
      <c r="D40" s="72" t="s">
        <v>193</v>
      </c>
      <c r="E40" s="70" t="s">
        <v>156</v>
      </c>
      <c r="F40" s="73">
        <v>1.546</v>
      </c>
      <c r="G40" s="63">
        <f>G16</f>
        <v>24.62</v>
      </c>
      <c r="H40" s="63">
        <f t="shared" si="3"/>
        <v>38.062519999999999</v>
      </c>
    </row>
    <row r="41" spans="2:8" x14ac:dyDescent="0.2">
      <c r="B41" s="70" t="s">
        <v>155</v>
      </c>
      <c r="C41" s="71" t="s">
        <v>194</v>
      </c>
      <c r="D41" s="72" t="s">
        <v>157</v>
      </c>
      <c r="E41" s="70" t="s">
        <v>156</v>
      </c>
      <c r="F41" s="73">
        <v>0.88700000000000001</v>
      </c>
      <c r="G41" s="63">
        <f>G17</f>
        <v>19.61</v>
      </c>
      <c r="H41" s="63">
        <f t="shared" si="3"/>
        <v>17.394069999999999</v>
      </c>
    </row>
    <row r="42" spans="2:8" ht="63.75" x14ac:dyDescent="0.2">
      <c r="B42" s="70" t="s">
        <v>153</v>
      </c>
      <c r="C42" s="70">
        <v>39482</v>
      </c>
      <c r="D42" s="72" t="s">
        <v>882</v>
      </c>
      <c r="E42" s="70" t="s">
        <v>151</v>
      </c>
      <c r="F42" s="73">
        <v>1</v>
      </c>
      <c r="G42" s="63">
        <v>554.14</v>
      </c>
      <c r="H42" s="63">
        <f t="shared" si="3"/>
        <v>554.14</v>
      </c>
    </row>
    <row r="43" spans="2:8" x14ac:dyDescent="0.2">
      <c r="B43" s="245" t="s">
        <v>102</v>
      </c>
      <c r="C43" s="245"/>
      <c r="D43" s="245"/>
      <c r="E43" s="245"/>
      <c r="F43" s="245"/>
      <c r="G43" s="245"/>
      <c r="H43" s="81">
        <f>SUM(H38:H42)</f>
        <v>629.15472</v>
      </c>
    </row>
    <row r="44" spans="2:8" ht="38.25" x14ac:dyDescent="0.2">
      <c r="B44" s="67" t="s">
        <v>726</v>
      </c>
      <c r="C44" s="67" t="s">
        <v>727</v>
      </c>
      <c r="D44" s="68" t="s">
        <v>728</v>
      </c>
      <c r="E44" s="67" t="s">
        <v>154</v>
      </c>
      <c r="F44" s="69"/>
      <c r="G44" s="52"/>
      <c r="H44" s="52"/>
    </row>
    <row r="45" spans="2:8" x14ac:dyDescent="0.2">
      <c r="B45" s="70" t="s">
        <v>155</v>
      </c>
      <c r="C45" s="70">
        <v>88316</v>
      </c>
      <c r="D45" s="72" t="s">
        <v>157</v>
      </c>
      <c r="E45" s="70" t="s">
        <v>156</v>
      </c>
      <c r="F45" s="73">
        <v>0.2</v>
      </c>
      <c r="G45" s="63">
        <f>G41</f>
        <v>19.61</v>
      </c>
      <c r="H45" s="63">
        <f t="shared" ref="H45:H46" si="4">F45*G45</f>
        <v>3.9220000000000002</v>
      </c>
    </row>
    <row r="46" spans="2:8" ht="25.5" x14ac:dyDescent="0.2">
      <c r="B46" s="70" t="s">
        <v>155</v>
      </c>
      <c r="C46" s="71" t="s">
        <v>729</v>
      </c>
      <c r="D46" s="72" t="s">
        <v>731</v>
      </c>
      <c r="E46" s="70" t="s">
        <v>154</v>
      </c>
      <c r="F46" s="73">
        <v>1</v>
      </c>
      <c r="G46" s="63">
        <v>353.23</v>
      </c>
      <c r="H46" s="63">
        <f t="shared" si="4"/>
        <v>353.23</v>
      </c>
    </row>
    <row r="47" spans="2:8" x14ac:dyDescent="0.2">
      <c r="B47" s="245" t="s">
        <v>102</v>
      </c>
      <c r="C47" s="245"/>
      <c r="D47" s="245"/>
      <c r="E47" s="245"/>
      <c r="F47" s="245"/>
      <c r="G47" s="245"/>
      <c r="H47" s="81">
        <f>SUM(H45:H46)</f>
        <v>357.15200000000004</v>
      </c>
    </row>
  </sheetData>
  <mergeCells count="14">
    <mergeCell ref="B47:G47"/>
    <mergeCell ref="B43:G43"/>
    <mergeCell ref="B5:H5"/>
    <mergeCell ref="B7:H7"/>
    <mergeCell ref="B9:H9"/>
    <mergeCell ref="B11:B12"/>
    <mergeCell ref="C11:C12"/>
    <mergeCell ref="D11:D12"/>
    <mergeCell ref="E11:E12"/>
    <mergeCell ref="F11:F12"/>
    <mergeCell ref="G11:H11"/>
    <mergeCell ref="B18:G18"/>
    <mergeCell ref="B27:G27"/>
    <mergeCell ref="B36:G36"/>
  </mergeCells>
  <conditionalFormatting sqref="B37:F42">
    <cfRule type="expression" dxfId="3" priority="7" stopIfTrue="1">
      <formula>AND($A37&lt;&gt;"COMPOSICAO",$A37&lt;&gt;"INSUMO",$A37&lt;&gt;"")</formula>
    </cfRule>
    <cfRule type="expression" dxfId="2" priority="8" stopIfTrue="1">
      <formula>AND(OR($A37="COMPOSICAO",$A37="INSUMO",$A37&lt;&gt;""),$A37&lt;&gt;"")</formula>
    </cfRule>
  </conditionalFormatting>
  <conditionalFormatting sqref="B44:F46">
    <cfRule type="expression" dxfId="1" priority="1" stopIfTrue="1">
      <formula>AND($A44&lt;&gt;"COMPOSICAO",$A44&lt;&gt;"INSUMO",$A44&lt;&gt;"")</formula>
    </cfRule>
    <cfRule type="expression" dxfId="0" priority="2" stopIfTrue="1">
      <formula>AND(OR($A44="COMPOSICAO",$A44="INSUMO",$A44&lt;&gt;""),$A44&lt;&gt;"")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U23"/>
  <sheetViews>
    <sheetView workbookViewId="0">
      <selection activeCell="C13" sqref="C13"/>
    </sheetView>
  </sheetViews>
  <sheetFormatPr defaultRowHeight="14.25" x14ac:dyDescent="0.2"/>
  <cols>
    <col min="1" max="1" width="1.25" customWidth="1"/>
    <col min="2" max="2" width="9.625" customWidth="1"/>
    <col min="3" max="3" width="9.75" customWidth="1"/>
    <col min="4" max="4" width="5.25" customWidth="1"/>
    <col min="5" max="5" width="6.125" customWidth="1"/>
    <col min="6" max="6" width="5.375" customWidth="1"/>
    <col min="7" max="8" width="5.625" customWidth="1"/>
    <col min="9" max="9" width="5.375" customWidth="1"/>
    <col min="10" max="10" width="5.75" customWidth="1"/>
    <col min="11" max="11" width="6" customWidth="1"/>
    <col min="12" max="12" width="6.125" customWidth="1"/>
    <col min="13" max="13" width="5.875" customWidth="1"/>
    <col min="14" max="14" width="5.75" customWidth="1"/>
    <col min="15" max="15" width="5.625" customWidth="1"/>
    <col min="16" max="17" width="5.25" customWidth="1"/>
    <col min="18" max="18" width="5.125" customWidth="1"/>
    <col min="19" max="19" width="4.75" customWidth="1"/>
    <col min="20" max="20" width="5" customWidth="1"/>
    <col min="21" max="21" width="5.875" customWidth="1"/>
  </cols>
  <sheetData>
    <row r="5" spans="2:21" x14ac:dyDescent="0.2">
      <c r="B5" s="264" t="str">
        <f>CRONO!B6</f>
        <v>REFORMA E AMPLIAÇÃO PREDIAL PARA INSTALAÇÃO DA SECRETARIA MUNICIPAL DE SAÚDE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</row>
    <row r="6" spans="2:21" ht="9" customHeight="1" x14ac:dyDescent="0.2"/>
    <row r="7" spans="2:21" ht="44.25" customHeight="1" x14ac:dyDescent="0.2">
      <c r="B7" s="266" t="s">
        <v>51</v>
      </c>
      <c r="C7" s="266"/>
      <c r="D7" s="267" t="s">
        <v>52</v>
      </c>
      <c r="E7" s="267"/>
      <c r="F7" s="267"/>
      <c r="G7" s="267" t="s">
        <v>53</v>
      </c>
      <c r="H7" s="267"/>
      <c r="I7" s="267"/>
      <c r="J7" s="267" t="s">
        <v>54</v>
      </c>
      <c r="K7" s="267"/>
      <c r="L7" s="267"/>
      <c r="M7" s="267" t="s">
        <v>55</v>
      </c>
      <c r="N7" s="267"/>
      <c r="O7" s="267"/>
      <c r="P7" s="267" t="s">
        <v>56</v>
      </c>
      <c r="Q7" s="267"/>
      <c r="R7" s="267"/>
      <c r="S7" s="267" t="s">
        <v>57</v>
      </c>
      <c r="T7" s="267"/>
      <c r="U7" s="267"/>
    </row>
    <row r="8" spans="2:21" ht="38.25" x14ac:dyDescent="0.2">
      <c r="B8" s="34" t="s">
        <v>58</v>
      </c>
      <c r="C8" s="35" t="s">
        <v>59</v>
      </c>
      <c r="D8" s="35" t="s">
        <v>60</v>
      </c>
      <c r="E8" s="35" t="s">
        <v>61</v>
      </c>
      <c r="F8" s="35" t="s">
        <v>62</v>
      </c>
      <c r="G8" s="35" t="s">
        <v>60</v>
      </c>
      <c r="H8" s="35" t="s">
        <v>61</v>
      </c>
      <c r="I8" s="35" t="s">
        <v>62</v>
      </c>
      <c r="J8" s="35" t="s">
        <v>60</v>
      </c>
      <c r="K8" s="35" t="s">
        <v>61</v>
      </c>
      <c r="L8" s="35" t="s">
        <v>62</v>
      </c>
      <c r="M8" s="35" t="s">
        <v>60</v>
      </c>
      <c r="N8" s="35" t="s">
        <v>61</v>
      </c>
      <c r="O8" s="35" t="s">
        <v>62</v>
      </c>
      <c r="P8" s="35" t="s">
        <v>60</v>
      </c>
      <c r="Q8" s="35" t="s">
        <v>61</v>
      </c>
      <c r="R8" s="35" t="s">
        <v>62</v>
      </c>
      <c r="S8" s="35" t="s">
        <v>60</v>
      </c>
      <c r="T8" s="36" t="s">
        <v>61</v>
      </c>
      <c r="U8" s="36" t="s">
        <v>62</v>
      </c>
    </row>
    <row r="9" spans="2:21" ht="38.25" x14ac:dyDescent="0.2">
      <c r="B9" s="37" t="s">
        <v>63</v>
      </c>
      <c r="C9" s="38">
        <v>3</v>
      </c>
      <c r="D9" s="39">
        <v>3</v>
      </c>
      <c r="E9" s="39">
        <v>4</v>
      </c>
      <c r="F9" s="39">
        <v>5.5</v>
      </c>
      <c r="G9" s="39">
        <v>3.8</v>
      </c>
      <c r="H9" s="39">
        <v>4.01</v>
      </c>
      <c r="I9" s="39">
        <v>4.67</v>
      </c>
      <c r="J9" s="39">
        <v>3.43</v>
      </c>
      <c r="K9" s="39">
        <v>4.93</v>
      </c>
      <c r="L9" s="39">
        <v>6.71</v>
      </c>
      <c r="M9" s="39">
        <v>1.5</v>
      </c>
      <c r="N9" s="39">
        <v>3.45</v>
      </c>
      <c r="O9" s="39">
        <v>4.49</v>
      </c>
      <c r="P9" s="39">
        <v>5.29</v>
      </c>
      <c r="Q9" s="39">
        <v>5.92</v>
      </c>
      <c r="R9" s="39">
        <v>7.93</v>
      </c>
      <c r="S9" s="39">
        <v>4</v>
      </c>
      <c r="T9" s="39">
        <v>5.52</v>
      </c>
      <c r="U9" s="39" t="s">
        <v>64</v>
      </c>
    </row>
    <row r="10" spans="2:21" ht="25.5" x14ac:dyDescent="0.2">
      <c r="B10" s="37" t="s">
        <v>65</v>
      </c>
      <c r="C10" s="38">
        <v>0.8</v>
      </c>
      <c r="D10" s="39">
        <v>0.8</v>
      </c>
      <c r="E10" s="39">
        <v>0.8</v>
      </c>
      <c r="F10" s="39">
        <v>1</v>
      </c>
      <c r="G10" s="39">
        <v>0.32</v>
      </c>
      <c r="H10" s="39">
        <v>0.4</v>
      </c>
      <c r="I10" s="39">
        <v>0.74</v>
      </c>
      <c r="J10" s="39">
        <v>0.28000000000000003</v>
      </c>
      <c r="K10" s="39">
        <v>0.49</v>
      </c>
      <c r="L10" s="39">
        <v>0.75</v>
      </c>
      <c r="M10" s="39">
        <v>0.3</v>
      </c>
      <c r="N10" s="39">
        <v>0.48</v>
      </c>
      <c r="O10" s="39">
        <v>0.82</v>
      </c>
      <c r="P10" s="39">
        <v>0.25</v>
      </c>
      <c r="Q10" s="39">
        <v>0.51</v>
      </c>
      <c r="R10" s="39">
        <v>0.56000000000000005</v>
      </c>
      <c r="S10" s="39">
        <v>0.81</v>
      </c>
      <c r="T10" s="39">
        <v>1.22</v>
      </c>
      <c r="U10" s="39">
        <v>1.99</v>
      </c>
    </row>
    <row r="11" spans="2:21" x14ac:dyDescent="0.2">
      <c r="B11" s="37" t="s">
        <v>66</v>
      </c>
      <c r="C11" s="38">
        <v>0.97</v>
      </c>
      <c r="D11" s="39">
        <v>0.97</v>
      </c>
      <c r="E11" s="39">
        <v>1.27</v>
      </c>
      <c r="F11" s="39">
        <v>1.27</v>
      </c>
      <c r="G11" s="39">
        <v>0.5</v>
      </c>
      <c r="H11" s="39">
        <v>0.56000000000000005</v>
      </c>
      <c r="I11" s="39">
        <v>0.97</v>
      </c>
      <c r="J11" s="39">
        <v>1</v>
      </c>
      <c r="K11" s="39">
        <v>1.39</v>
      </c>
      <c r="L11" s="39">
        <v>1.74</v>
      </c>
      <c r="M11" s="39">
        <v>0.56000000000000005</v>
      </c>
      <c r="N11" s="39">
        <v>0.85</v>
      </c>
      <c r="O11" s="39">
        <v>0.89</v>
      </c>
      <c r="P11" s="39">
        <v>1</v>
      </c>
      <c r="Q11" s="39">
        <v>1.48</v>
      </c>
      <c r="R11" s="39">
        <v>1.97</v>
      </c>
      <c r="S11" s="39">
        <v>1.46</v>
      </c>
      <c r="T11" s="39">
        <v>2.3199999999999998</v>
      </c>
      <c r="U11" s="39">
        <v>3.16</v>
      </c>
    </row>
    <row r="12" spans="2:21" ht="38.25" x14ac:dyDescent="0.2">
      <c r="B12" s="37" t="s">
        <v>67</v>
      </c>
      <c r="C12" s="38">
        <v>0.59</v>
      </c>
      <c r="D12" s="39">
        <v>0.59</v>
      </c>
      <c r="E12" s="39">
        <v>1.23</v>
      </c>
      <c r="F12" s="39">
        <v>1.39</v>
      </c>
      <c r="G12" s="39">
        <v>1.02</v>
      </c>
      <c r="H12" s="39">
        <v>1.1100000000000001</v>
      </c>
      <c r="I12" s="39">
        <v>1.21</v>
      </c>
      <c r="J12" s="39">
        <v>0.94</v>
      </c>
      <c r="K12" s="39">
        <v>0.99</v>
      </c>
      <c r="L12" s="39">
        <v>1.17</v>
      </c>
      <c r="M12" s="39">
        <v>0.85</v>
      </c>
      <c r="N12" s="39">
        <v>0.85</v>
      </c>
      <c r="O12" s="39">
        <v>1.1100000000000001</v>
      </c>
      <c r="P12" s="39">
        <v>1.01</v>
      </c>
      <c r="Q12" s="39">
        <v>1.07</v>
      </c>
      <c r="R12" s="39">
        <v>1.1100000000000001</v>
      </c>
      <c r="S12" s="39">
        <v>0.94</v>
      </c>
      <c r="T12" s="39">
        <v>1.02</v>
      </c>
      <c r="U12" s="39">
        <v>1.33</v>
      </c>
    </row>
    <row r="13" spans="2:21" x14ac:dyDescent="0.2">
      <c r="B13" s="37" t="s">
        <v>68</v>
      </c>
      <c r="C13" s="38">
        <v>6.57</v>
      </c>
      <c r="D13" s="39"/>
      <c r="E13" s="39">
        <v>7.4</v>
      </c>
      <c r="F13" s="39">
        <v>8.9600000000000009</v>
      </c>
      <c r="G13" s="39">
        <v>6.64</v>
      </c>
      <c r="H13" s="39">
        <v>7.3</v>
      </c>
      <c r="I13" s="39">
        <v>8.69</v>
      </c>
      <c r="J13" s="39">
        <v>6.74</v>
      </c>
      <c r="K13" s="39">
        <v>8.0399999999999991</v>
      </c>
      <c r="L13" s="39">
        <v>9.4</v>
      </c>
      <c r="M13" s="39">
        <v>3.5</v>
      </c>
      <c r="N13" s="39">
        <v>5.1100000000000003</v>
      </c>
      <c r="O13" s="39">
        <v>6.22</v>
      </c>
      <c r="P13" s="39">
        <v>8</v>
      </c>
      <c r="Q13" s="39">
        <v>8.31</v>
      </c>
      <c r="R13" s="39">
        <v>9.51</v>
      </c>
      <c r="S13" s="39">
        <v>7.14</v>
      </c>
      <c r="T13" s="39">
        <v>8.4</v>
      </c>
      <c r="U13" s="39">
        <v>10.43</v>
      </c>
    </row>
    <row r="14" spans="2:21" ht="38.25" x14ac:dyDescent="0.2">
      <c r="B14" s="37" t="s">
        <v>69</v>
      </c>
      <c r="C14" s="38">
        <f>3+0.65+2+4.5</f>
        <v>10.15</v>
      </c>
      <c r="D14" s="268" t="s">
        <v>70</v>
      </c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</row>
    <row r="15" spans="2:21" x14ac:dyDescent="0.2">
      <c r="B15" s="40"/>
      <c r="C15" s="40"/>
      <c r="D15" s="41"/>
      <c r="E15" s="41"/>
      <c r="F15" s="41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2:21" x14ac:dyDescent="0.2">
      <c r="B16" s="269" t="s">
        <v>71</v>
      </c>
      <c r="C16" s="270"/>
      <c r="D16" s="270"/>
      <c r="E16" s="271"/>
      <c r="F16" s="41"/>
      <c r="G16" s="272" t="s">
        <v>72</v>
      </c>
      <c r="H16" s="272"/>
      <c r="I16" s="272"/>
      <c r="J16" s="272"/>
      <c r="K16" s="272"/>
      <c r="L16" s="272"/>
      <c r="M16" s="272"/>
      <c r="N16" s="272"/>
      <c r="O16" s="272"/>
      <c r="P16" s="40"/>
      <c r="Q16" s="40"/>
      <c r="R16" s="40"/>
      <c r="S16" s="40"/>
      <c r="T16" s="40"/>
      <c r="U16" s="40"/>
    </row>
    <row r="17" spans="2:21" ht="24.75" customHeight="1" x14ac:dyDescent="0.2">
      <c r="B17" s="260" t="s">
        <v>73</v>
      </c>
      <c r="C17" s="261"/>
      <c r="D17" s="261"/>
      <c r="E17" s="262"/>
      <c r="F17" s="41"/>
      <c r="G17" s="272" t="s">
        <v>74</v>
      </c>
      <c r="H17" s="272"/>
      <c r="I17" s="272"/>
      <c r="J17" s="272"/>
      <c r="K17" s="272"/>
      <c r="L17" s="272"/>
      <c r="M17" s="42" t="s">
        <v>60</v>
      </c>
      <c r="N17" s="42" t="s">
        <v>61</v>
      </c>
      <c r="O17" s="42" t="s">
        <v>62</v>
      </c>
      <c r="P17" s="40"/>
      <c r="Q17" s="40"/>
      <c r="R17" s="40"/>
      <c r="S17" s="40"/>
      <c r="T17" s="40"/>
      <c r="U17" s="40"/>
    </row>
    <row r="18" spans="2:21" ht="49.5" customHeight="1" x14ac:dyDescent="0.2">
      <c r="B18" s="260" t="s">
        <v>75</v>
      </c>
      <c r="C18" s="261"/>
      <c r="D18" s="261"/>
      <c r="E18" s="262"/>
      <c r="F18" s="41"/>
      <c r="G18" s="263" t="s">
        <v>52</v>
      </c>
      <c r="H18" s="263"/>
      <c r="I18" s="263"/>
      <c r="J18" s="263"/>
      <c r="K18" s="263"/>
      <c r="L18" s="263"/>
      <c r="M18" s="43">
        <v>20.34</v>
      </c>
      <c r="N18" s="43">
        <v>22.12</v>
      </c>
      <c r="O18" s="43">
        <v>25</v>
      </c>
      <c r="P18" s="40"/>
      <c r="Q18" s="40"/>
      <c r="R18" s="40"/>
      <c r="S18" s="41"/>
      <c r="T18" s="40"/>
      <c r="U18" s="40"/>
    </row>
    <row r="19" spans="2:21" ht="47.25" customHeight="1" x14ac:dyDescent="0.2">
      <c r="B19" s="273" t="s">
        <v>76</v>
      </c>
      <c r="C19" s="274"/>
      <c r="D19" s="274"/>
      <c r="E19" s="275"/>
      <c r="F19" s="40"/>
      <c r="G19" s="263" t="s">
        <v>77</v>
      </c>
      <c r="H19" s="263"/>
      <c r="I19" s="263"/>
      <c r="J19" s="263"/>
      <c r="K19" s="263"/>
      <c r="L19" s="263"/>
      <c r="M19" s="43">
        <v>19.600000000000001</v>
      </c>
      <c r="N19" s="43">
        <v>20.97</v>
      </c>
      <c r="O19" s="43">
        <v>24.23</v>
      </c>
      <c r="P19" s="40"/>
      <c r="Q19" s="40"/>
      <c r="R19" s="40"/>
      <c r="S19" s="40"/>
      <c r="T19" s="40"/>
      <c r="U19" s="40"/>
    </row>
    <row r="20" spans="2:21" ht="24.75" customHeight="1" x14ac:dyDescent="0.2">
      <c r="B20" s="44" t="s">
        <v>78</v>
      </c>
      <c r="C20" s="45">
        <f>((1+(C9+C10+C11)/100)*((1+C12/100)*(1+C13/100))/(1-C14/100))-1</f>
        <v>0.24999603778631085</v>
      </c>
      <c r="D20" s="46"/>
      <c r="E20" s="46"/>
      <c r="F20" s="40"/>
      <c r="G20" s="263" t="s">
        <v>79</v>
      </c>
      <c r="H20" s="263"/>
      <c r="I20" s="263"/>
      <c r="J20" s="263"/>
      <c r="K20" s="263"/>
      <c r="L20" s="263"/>
      <c r="M20" s="43">
        <v>20.76</v>
      </c>
      <c r="N20" s="43">
        <v>24.18</v>
      </c>
      <c r="O20" s="43">
        <v>26.44</v>
      </c>
      <c r="P20" s="40"/>
      <c r="Q20" s="40"/>
      <c r="R20" s="40"/>
      <c r="S20" s="40"/>
      <c r="T20" s="40"/>
      <c r="U20" s="40"/>
    </row>
    <row r="21" spans="2:21" ht="24.75" customHeight="1" x14ac:dyDescent="0.2">
      <c r="B21" s="276" t="s">
        <v>80</v>
      </c>
      <c r="C21" s="277"/>
      <c r="D21" s="277"/>
      <c r="E21" s="278"/>
      <c r="F21" s="40"/>
      <c r="G21" s="263" t="s">
        <v>81</v>
      </c>
      <c r="H21" s="263"/>
      <c r="I21" s="263"/>
      <c r="J21" s="263"/>
      <c r="K21" s="263"/>
      <c r="L21" s="263"/>
      <c r="M21" s="43">
        <v>24</v>
      </c>
      <c r="N21" s="43">
        <v>25.84</v>
      </c>
      <c r="O21" s="43">
        <v>27.86</v>
      </c>
      <c r="P21" s="40"/>
      <c r="Q21" s="40"/>
      <c r="R21" s="40"/>
      <c r="S21" s="40"/>
      <c r="T21" s="40"/>
      <c r="U21" s="40"/>
    </row>
    <row r="22" spans="2:21" x14ac:dyDescent="0.2">
      <c r="B22" s="47"/>
      <c r="C22" s="48"/>
      <c r="D22" s="48"/>
      <c r="E22" s="49"/>
      <c r="F22" s="40"/>
      <c r="G22" s="263" t="s">
        <v>82</v>
      </c>
      <c r="H22" s="263"/>
      <c r="I22" s="263"/>
      <c r="J22" s="263"/>
      <c r="K22" s="263"/>
      <c r="L22" s="263"/>
      <c r="M22" s="43">
        <v>22.8</v>
      </c>
      <c r="N22" s="43">
        <v>27.48</v>
      </c>
      <c r="O22" s="43">
        <v>30.95</v>
      </c>
      <c r="P22" s="40"/>
      <c r="Q22" s="40"/>
      <c r="R22" s="40"/>
      <c r="S22" s="40"/>
      <c r="T22" s="40"/>
      <c r="U22" s="40"/>
    </row>
    <row r="23" spans="2:21" x14ac:dyDescent="0.2">
      <c r="B23" s="50"/>
      <c r="C23" s="40"/>
      <c r="D23" s="40"/>
      <c r="E23" s="51"/>
      <c r="F23" s="40"/>
      <c r="G23" s="263" t="s">
        <v>83</v>
      </c>
      <c r="H23" s="263"/>
      <c r="I23" s="263"/>
      <c r="J23" s="263"/>
      <c r="K23" s="263"/>
      <c r="L23" s="263"/>
      <c r="M23" s="43">
        <v>11.1</v>
      </c>
      <c r="N23" s="43">
        <v>14.02</v>
      </c>
      <c r="O23" s="43">
        <v>16.8</v>
      </c>
      <c r="P23" s="40"/>
      <c r="Q23" s="40"/>
      <c r="R23" s="40"/>
      <c r="S23" s="40"/>
      <c r="T23" s="40"/>
      <c r="U23" s="40"/>
    </row>
  </sheetData>
  <mergeCells count="22">
    <mergeCell ref="G23:L23"/>
    <mergeCell ref="B19:E19"/>
    <mergeCell ref="G19:L19"/>
    <mergeCell ref="G20:L20"/>
    <mergeCell ref="B21:E21"/>
    <mergeCell ref="G21:L21"/>
    <mergeCell ref="G22:L22"/>
    <mergeCell ref="B18:E18"/>
    <mergeCell ref="G18:L18"/>
    <mergeCell ref="B5:U5"/>
    <mergeCell ref="B7:C7"/>
    <mergeCell ref="D7:F7"/>
    <mergeCell ref="G7:I7"/>
    <mergeCell ref="J7:L7"/>
    <mergeCell ref="M7:O7"/>
    <mergeCell ref="P7:R7"/>
    <mergeCell ref="S7:U7"/>
    <mergeCell ref="D14:U14"/>
    <mergeCell ref="B16:E16"/>
    <mergeCell ref="G16:O16"/>
    <mergeCell ref="B17:E17"/>
    <mergeCell ref="G17:L17"/>
  </mergeCells>
  <pageMargins left="0.511811024" right="0.511811024" top="0.28000000000000003" bottom="0.26" header="0.31496062000000002" footer="0.2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55"/>
  <sheetViews>
    <sheetView topLeftCell="A40" workbookViewId="0">
      <selection activeCell="H12" sqref="H12"/>
    </sheetView>
  </sheetViews>
  <sheetFormatPr defaultRowHeight="14.25" x14ac:dyDescent="0.2"/>
  <cols>
    <col min="2" max="2" width="26.5" style="77" customWidth="1"/>
    <col min="3" max="3" width="16" customWidth="1"/>
    <col min="4" max="4" width="15.5" customWidth="1"/>
    <col min="6" max="6" width="12.875" customWidth="1"/>
    <col min="8" max="8" width="9" style="80"/>
  </cols>
  <sheetData>
    <row r="4" spans="2:10" x14ac:dyDescent="0.2">
      <c r="B4" s="74" t="s">
        <v>89</v>
      </c>
      <c r="C4" s="64" t="s">
        <v>90</v>
      </c>
      <c r="D4" s="64" t="s">
        <v>91</v>
      </c>
      <c r="F4" s="64" t="s">
        <v>95</v>
      </c>
    </row>
    <row r="5" spans="2:10" x14ac:dyDescent="0.2">
      <c r="B5" s="79" t="s">
        <v>129</v>
      </c>
      <c r="C5" s="78"/>
      <c r="D5" s="78"/>
      <c r="F5" s="78"/>
    </row>
    <row r="6" spans="2:10" x14ac:dyDescent="0.2">
      <c r="B6" s="75" t="s">
        <v>110</v>
      </c>
      <c r="C6" s="66">
        <v>26.45</v>
      </c>
      <c r="D6" s="66">
        <v>20.67</v>
      </c>
      <c r="F6" s="66">
        <v>0.13</v>
      </c>
      <c r="I6" s="80"/>
    </row>
    <row r="7" spans="2:10" x14ac:dyDescent="0.2">
      <c r="B7" s="75" t="s">
        <v>111</v>
      </c>
      <c r="C7" s="66">
        <v>33.07</v>
      </c>
      <c r="D7" s="66">
        <v>59.47</v>
      </c>
      <c r="F7" s="66">
        <v>0.13</v>
      </c>
      <c r="I7" s="80"/>
    </row>
    <row r="8" spans="2:10" x14ac:dyDescent="0.2">
      <c r="B8" s="75" t="s">
        <v>112</v>
      </c>
      <c r="C8" s="66">
        <v>20.91</v>
      </c>
      <c r="D8" s="66">
        <v>19.64</v>
      </c>
      <c r="F8" s="66">
        <v>0.1</v>
      </c>
    </row>
    <row r="9" spans="2:10" x14ac:dyDescent="0.2">
      <c r="B9" s="75" t="s">
        <v>113</v>
      </c>
      <c r="C9" s="66">
        <v>21.03</v>
      </c>
      <c r="D9" s="66">
        <v>19.68</v>
      </c>
      <c r="F9" s="66">
        <f>0.13*8</f>
        <v>1.04</v>
      </c>
    </row>
    <row r="10" spans="2:10" x14ac:dyDescent="0.2">
      <c r="B10" s="75" t="s">
        <v>114</v>
      </c>
      <c r="C10" s="66">
        <v>20.09</v>
      </c>
      <c r="D10" s="66">
        <v>19.7</v>
      </c>
      <c r="F10" s="66">
        <f>0.1*2</f>
        <v>0.2</v>
      </c>
    </row>
    <row r="11" spans="2:10" ht="28.5" x14ac:dyDescent="0.2">
      <c r="B11" s="75" t="s">
        <v>115</v>
      </c>
      <c r="C11" s="10">
        <v>20.88</v>
      </c>
      <c r="D11" s="10">
        <v>19.63</v>
      </c>
      <c r="E11" s="22"/>
      <c r="F11" s="10">
        <f>0.1*3</f>
        <v>0.30000000000000004</v>
      </c>
    </row>
    <row r="12" spans="2:10" x14ac:dyDescent="0.2">
      <c r="B12" s="75" t="s">
        <v>116</v>
      </c>
      <c r="C12" s="66">
        <v>3.73</v>
      </c>
      <c r="D12" s="66">
        <v>9.94</v>
      </c>
      <c r="F12" s="66">
        <v>0.1</v>
      </c>
      <c r="H12" s="80">
        <f>D12+D13+D14+D15+D16+D17+D18+D19+D25+D29+D36+D37+D38+D39+D40+D41+D42+D43</f>
        <v>145.19999999999999</v>
      </c>
      <c r="I12" s="80"/>
      <c r="J12" s="80"/>
    </row>
    <row r="13" spans="2:10" x14ac:dyDescent="0.2">
      <c r="B13" s="75" t="s">
        <v>117</v>
      </c>
      <c r="C13" s="66">
        <v>1.08</v>
      </c>
      <c r="D13" s="66">
        <v>4.1900000000000004</v>
      </c>
      <c r="F13" s="66"/>
    </row>
    <row r="14" spans="2:10" x14ac:dyDescent="0.2">
      <c r="B14" s="75" t="s">
        <v>118</v>
      </c>
      <c r="C14" s="66">
        <v>0.99</v>
      </c>
      <c r="D14" s="66">
        <v>4.04</v>
      </c>
      <c r="F14" s="66"/>
    </row>
    <row r="15" spans="2:10" x14ac:dyDescent="0.2">
      <c r="B15" s="75" t="s">
        <v>119</v>
      </c>
      <c r="C15" s="66">
        <v>1.08</v>
      </c>
      <c r="D15" s="66">
        <v>4.1900000000000004</v>
      </c>
      <c r="F15" s="66"/>
    </row>
    <row r="16" spans="2:10" x14ac:dyDescent="0.2">
      <c r="B16" s="75" t="s">
        <v>120</v>
      </c>
      <c r="C16" s="66">
        <v>1.2</v>
      </c>
      <c r="D16" s="66">
        <v>4.45</v>
      </c>
      <c r="F16" s="66"/>
    </row>
    <row r="17" spans="2:11" x14ac:dyDescent="0.2">
      <c r="B17" s="75" t="s">
        <v>121</v>
      </c>
      <c r="C17" s="66">
        <v>1.1000000000000001</v>
      </c>
      <c r="D17" s="66">
        <v>4.3</v>
      </c>
      <c r="F17" s="66"/>
    </row>
    <row r="18" spans="2:11" x14ac:dyDescent="0.2">
      <c r="B18" s="75" t="s">
        <v>122</v>
      </c>
      <c r="C18" s="66">
        <v>7.27</v>
      </c>
      <c r="D18" s="66">
        <v>12.89</v>
      </c>
      <c r="F18" s="66"/>
    </row>
    <row r="19" spans="2:11" x14ac:dyDescent="0.2">
      <c r="B19" s="75" t="s">
        <v>128</v>
      </c>
      <c r="C19" s="66">
        <v>6.82</v>
      </c>
      <c r="D19" s="66">
        <v>14.96</v>
      </c>
      <c r="F19" s="66"/>
    </row>
    <row r="20" spans="2:11" x14ac:dyDescent="0.2">
      <c r="B20" s="75" t="s">
        <v>172</v>
      </c>
      <c r="C20" s="66">
        <v>4.2300000000000004</v>
      </c>
      <c r="D20" s="66">
        <v>9.9</v>
      </c>
      <c r="F20" s="66"/>
    </row>
    <row r="21" spans="2:11" x14ac:dyDescent="0.2">
      <c r="B21" s="75" t="s">
        <v>173</v>
      </c>
      <c r="C21" s="66">
        <v>4.2300000000000004</v>
      </c>
      <c r="D21" s="66">
        <v>9.9</v>
      </c>
      <c r="F21" s="66"/>
    </row>
    <row r="22" spans="2:11" ht="28.5" x14ac:dyDescent="0.2">
      <c r="B22" s="75" t="s">
        <v>123</v>
      </c>
      <c r="C22" s="10">
        <v>20.93</v>
      </c>
      <c r="D22" s="10">
        <v>19.66</v>
      </c>
      <c r="E22" s="22"/>
      <c r="F22" s="10"/>
    </row>
    <row r="23" spans="2:11" x14ac:dyDescent="0.2">
      <c r="B23" s="75" t="s">
        <v>124</v>
      </c>
      <c r="C23" s="66">
        <v>21.29</v>
      </c>
      <c r="D23" s="66">
        <v>19.760000000000002</v>
      </c>
      <c r="F23" s="66"/>
    </row>
    <row r="24" spans="2:11" x14ac:dyDescent="0.2">
      <c r="B24" s="75" t="s">
        <v>125</v>
      </c>
      <c r="C24" s="66">
        <v>7.05</v>
      </c>
      <c r="D24" s="66">
        <v>15.22</v>
      </c>
      <c r="F24" s="66"/>
    </row>
    <row r="25" spans="2:11" x14ac:dyDescent="0.2">
      <c r="B25" s="75" t="s">
        <v>126</v>
      </c>
      <c r="C25" s="66">
        <v>10.31</v>
      </c>
      <c r="D25" s="66">
        <v>13.64</v>
      </c>
      <c r="F25" s="66"/>
    </row>
    <row r="26" spans="2:11" x14ac:dyDescent="0.2">
      <c r="B26" s="75" t="s">
        <v>127</v>
      </c>
      <c r="C26" s="66">
        <v>2.1</v>
      </c>
      <c r="D26" s="66">
        <v>6.19</v>
      </c>
      <c r="F26" s="66"/>
    </row>
    <row r="27" spans="2:11" x14ac:dyDescent="0.2">
      <c r="B27" s="79" t="s">
        <v>130</v>
      </c>
      <c r="C27" s="66"/>
      <c r="D27" s="66"/>
      <c r="F27" s="66"/>
    </row>
    <row r="28" spans="2:11" x14ac:dyDescent="0.2">
      <c r="B28" s="75" t="s">
        <v>131</v>
      </c>
      <c r="C28" s="66">
        <v>2.88</v>
      </c>
      <c r="D28" s="66">
        <v>7.33</v>
      </c>
      <c r="F28" s="66">
        <v>0.13</v>
      </c>
    </row>
    <row r="29" spans="2:11" x14ac:dyDescent="0.2">
      <c r="B29" s="75" t="s">
        <v>132</v>
      </c>
      <c r="C29" s="66">
        <v>10.31</v>
      </c>
      <c r="D29" s="66">
        <v>13.64</v>
      </c>
      <c r="F29" s="66">
        <f>0.13*9</f>
        <v>1.17</v>
      </c>
      <c r="K29" s="80">
        <f>D29+D31</f>
        <v>34.58</v>
      </c>
    </row>
    <row r="30" spans="2:11" x14ac:dyDescent="0.2">
      <c r="B30" s="75" t="s">
        <v>146</v>
      </c>
      <c r="C30" s="66">
        <v>30.09</v>
      </c>
      <c r="D30" s="66">
        <v>54.63</v>
      </c>
      <c r="F30" s="66">
        <f>0.1*5</f>
        <v>0.5</v>
      </c>
    </row>
    <row r="31" spans="2:11" x14ac:dyDescent="0.2">
      <c r="B31" s="75" t="s">
        <v>133</v>
      </c>
      <c r="C31" s="66">
        <v>27.09</v>
      </c>
      <c r="D31" s="66">
        <v>20.94</v>
      </c>
      <c r="F31" s="66">
        <v>0.1</v>
      </c>
    </row>
    <row r="32" spans="2:11" x14ac:dyDescent="0.2">
      <c r="B32" s="75" t="s">
        <v>134</v>
      </c>
      <c r="C32" s="66">
        <v>20.91</v>
      </c>
      <c r="D32" s="66">
        <v>19.64</v>
      </c>
      <c r="F32" s="66"/>
    </row>
    <row r="33" spans="2:9" ht="28.5" x14ac:dyDescent="0.2">
      <c r="B33" s="75" t="s">
        <v>135</v>
      </c>
      <c r="C33" s="10">
        <v>20.03</v>
      </c>
      <c r="D33" s="10">
        <v>19.68</v>
      </c>
      <c r="E33" s="22"/>
      <c r="F33" s="10"/>
    </row>
    <row r="34" spans="2:9" ht="28.5" x14ac:dyDescent="0.2">
      <c r="B34" s="75" t="s">
        <v>136</v>
      </c>
      <c r="C34" s="10">
        <v>21.09</v>
      </c>
      <c r="D34" s="10">
        <v>19.7</v>
      </c>
      <c r="E34" s="22"/>
      <c r="F34" s="10"/>
    </row>
    <row r="35" spans="2:9" x14ac:dyDescent="0.2">
      <c r="B35" s="75" t="s">
        <v>137</v>
      </c>
      <c r="C35" s="66">
        <v>20.88</v>
      </c>
      <c r="D35" s="66">
        <v>19.63</v>
      </c>
      <c r="F35" s="66"/>
    </row>
    <row r="36" spans="2:9" x14ac:dyDescent="0.2">
      <c r="B36" s="75" t="s">
        <v>138</v>
      </c>
      <c r="C36" s="66">
        <v>3.73</v>
      </c>
      <c r="D36" s="66">
        <v>9.94</v>
      </c>
      <c r="F36" s="66"/>
    </row>
    <row r="37" spans="2:9" x14ac:dyDescent="0.2">
      <c r="B37" s="75" t="s">
        <v>139</v>
      </c>
      <c r="C37" s="66">
        <v>1.08</v>
      </c>
      <c r="D37" s="66">
        <v>4.1900000000000004</v>
      </c>
      <c r="F37" s="66"/>
    </row>
    <row r="38" spans="2:9" x14ac:dyDescent="0.2">
      <c r="B38" s="75" t="s">
        <v>140</v>
      </c>
      <c r="C38" s="66">
        <v>0.99</v>
      </c>
      <c r="D38" s="66">
        <v>4.04</v>
      </c>
      <c r="F38" s="66"/>
    </row>
    <row r="39" spans="2:9" x14ac:dyDescent="0.2">
      <c r="B39" s="75" t="s">
        <v>141</v>
      </c>
      <c r="C39" s="66">
        <v>1.08</v>
      </c>
      <c r="D39" s="66">
        <v>4.1900000000000004</v>
      </c>
      <c r="F39" s="66"/>
    </row>
    <row r="40" spans="2:9" x14ac:dyDescent="0.2">
      <c r="B40" s="75" t="s">
        <v>128</v>
      </c>
      <c r="C40" s="66">
        <v>6.82</v>
      </c>
      <c r="D40" s="66">
        <v>14.96</v>
      </c>
      <c r="F40" s="66"/>
    </row>
    <row r="41" spans="2:9" x14ac:dyDescent="0.2">
      <c r="B41" s="75" t="s">
        <v>122</v>
      </c>
      <c r="C41" s="66">
        <v>7.27</v>
      </c>
      <c r="D41" s="66">
        <v>12.89</v>
      </c>
      <c r="F41" s="66"/>
    </row>
    <row r="42" spans="2:9" x14ac:dyDescent="0.2">
      <c r="B42" s="75" t="s">
        <v>142</v>
      </c>
      <c r="C42" s="66">
        <v>1.2</v>
      </c>
      <c r="D42" s="66">
        <v>4.45</v>
      </c>
      <c r="F42" s="66"/>
    </row>
    <row r="43" spans="2:9" x14ac:dyDescent="0.2">
      <c r="B43" s="75" t="s">
        <v>143</v>
      </c>
      <c r="C43" s="66">
        <v>1.1000000000000001</v>
      </c>
      <c r="D43" s="66">
        <v>4.3</v>
      </c>
      <c r="F43" s="66"/>
      <c r="I43" s="80"/>
    </row>
    <row r="44" spans="2:9" x14ac:dyDescent="0.2">
      <c r="B44" s="75" t="s">
        <v>125</v>
      </c>
      <c r="C44" s="66">
        <v>0</v>
      </c>
      <c r="D44" s="66">
        <v>15.22</v>
      </c>
      <c r="F44" s="66"/>
    </row>
    <row r="45" spans="2:9" ht="28.5" x14ac:dyDescent="0.2">
      <c r="B45" s="75" t="s">
        <v>144</v>
      </c>
      <c r="C45" s="10">
        <v>20.93</v>
      </c>
      <c r="D45" s="10">
        <v>19.66</v>
      </c>
      <c r="F45" s="66"/>
    </row>
    <row r="46" spans="2:9" x14ac:dyDescent="0.2">
      <c r="B46" s="75" t="s">
        <v>145</v>
      </c>
      <c r="C46" s="66">
        <v>21.29</v>
      </c>
      <c r="D46" s="66">
        <v>19.760000000000002</v>
      </c>
      <c r="F46" s="66"/>
    </row>
    <row r="47" spans="2:9" x14ac:dyDescent="0.2">
      <c r="B47" s="76" t="s">
        <v>92</v>
      </c>
      <c r="C47" s="65">
        <f>SUM(C6:C46)</f>
        <v>454.60999999999996</v>
      </c>
      <c r="D47" s="65">
        <f>SUM(D6:D46)</f>
        <v>600.80999999999995</v>
      </c>
      <c r="F47" s="65">
        <f>SUM(F6:F46)</f>
        <v>3.9</v>
      </c>
    </row>
    <row r="49" spans="2:4" x14ac:dyDescent="0.2">
      <c r="B49" s="75" t="s">
        <v>93</v>
      </c>
      <c r="C49" s="66">
        <f>257.07*2</f>
        <v>514.14</v>
      </c>
      <c r="D49" s="66">
        <f>105.79*2</f>
        <v>211.58</v>
      </c>
    </row>
    <row r="51" spans="2:4" x14ac:dyDescent="0.2">
      <c r="B51" s="75" t="s">
        <v>439</v>
      </c>
      <c r="C51" s="66">
        <f>357.84-257.07</f>
        <v>100.76999999999998</v>
      </c>
      <c r="D51" s="66">
        <v>92.99</v>
      </c>
    </row>
    <row r="53" spans="2:4" x14ac:dyDescent="0.2">
      <c r="B53" s="86" t="s">
        <v>708</v>
      </c>
      <c r="C53" s="10">
        <f>3.43*1.1*2+2.64</f>
        <v>10.186000000000002</v>
      </c>
      <c r="D53" s="10">
        <v>15.52</v>
      </c>
    </row>
    <row r="55" spans="2:4" x14ac:dyDescent="0.2">
      <c r="B55" s="86" t="s">
        <v>723</v>
      </c>
      <c r="C55" s="10">
        <v>15.22</v>
      </c>
      <c r="D55" s="10">
        <v>15.86</v>
      </c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0"/>
  <sheetViews>
    <sheetView topLeftCell="A41" workbookViewId="0">
      <selection activeCell="B51" sqref="B51:C55"/>
    </sheetView>
  </sheetViews>
  <sheetFormatPr defaultRowHeight="14.25" x14ac:dyDescent="0.2"/>
  <cols>
    <col min="2" max="2" width="22.25" customWidth="1"/>
    <col min="3" max="10" width="9" style="123"/>
  </cols>
  <sheetData>
    <row r="2" spans="2:3" x14ac:dyDescent="0.2">
      <c r="B2" t="s">
        <v>489</v>
      </c>
    </row>
    <row r="5" spans="2:3" x14ac:dyDescent="0.2">
      <c r="B5" s="125" t="s">
        <v>490</v>
      </c>
      <c r="C5" s="123">
        <v>419.58</v>
      </c>
    </row>
    <row r="6" spans="2:3" x14ac:dyDescent="0.2">
      <c r="B6" s="125"/>
      <c r="C6" s="123">
        <v>5</v>
      </c>
    </row>
    <row r="7" spans="2:3" x14ac:dyDescent="0.2">
      <c r="B7" s="125"/>
      <c r="C7" s="123">
        <v>8.8000000000000007</v>
      </c>
    </row>
    <row r="8" spans="2:3" x14ac:dyDescent="0.2">
      <c r="B8" s="125"/>
      <c r="C8" s="123">
        <v>2.5</v>
      </c>
    </row>
    <row r="9" spans="2:3" x14ac:dyDescent="0.2">
      <c r="B9" s="125"/>
      <c r="C9" s="124"/>
    </row>
    <row r="10" spans="2:3" x14ac:dyDescent="0.2">
      <c r="B10" s="125"/>
    </row>
    <row r="11" spans="2:3" x14ac:dyDescent="0.2">
      <c r="B11" s="125" t="s">
        <v>949</v>
      </c>
      <c r="C11" s="123">
        <f>0.8*2.1*21</f>
        <v>35.28</v>
      </c>
    </row>
    <row r="12" spans="2:3" x14ac:dyDescent="0.2">
      <c r="B12" s="125"/>
      <c r="C12" s="123">
        <f>0.6*2.1*3</f>
        <v>3.7800000000000002</v>
      </c>
    </row>
    <row r="13" spans="2:3" x14ac:dyDescent="0.2">
      <c r="B13" s="125"/>
      <c r="C13" s="123">
        <f>0.8*2.1*2</f>
        <v>3.3600000000000003</v>
      </c>
    </row>
    <row r="14" spans="2:3" x14ac:dyDescent="0.2">
      <c r="B14" s="125"/>
      <c r="C14" s="123">
        <f>0.6*1.8*10</f>
        <v>10.8</v>
      </c>
    </row>
    <row r="15" spans="2:3" x14ac:dyDescent="0.2">
      <c r="B15" s="125"/>
      <c r="C15" s="123">
        <f>1.6*2.8*1</f>
        <v>4.4799999999999995</v>
      </c>
    </row>
    <row r="16" spans="2:3" x14ac:dyDescent="0.2">
      <c r="B16" s="125"/>
      <c r="C16" s="123">
        <f>1.85*1.55*13</f>
        <v>37.277500000000003</v>
      </c>
    </row>
    <row r="17" spans="2:3" x14ac:dyDescent="0.2">
      <c r="B17" s="125"/>
      <c r="C17" s="123">
        <f>4*0.6*2</f>
        <v>4.8</v>
      </c>
    </row>
    <row r="18" spans="2:3" x14ac:dyDescent="0.2">
      <c r="C18" s="123">
        <f>1.55*1</f>
        <v>1.55</v>
      </c>
    </row>
    <row r="19" spans="2:3" x14ac:dyDescent="0.2">
      <c r="C19" s="123">
        <f>0.8*0.4*2</f>
        <v>0.64000000000000012</v>
      </c>
    </row>
    <row r="21" spans="2:3" x14ac:dyDescent="0.2">
      <c r="B21" t="s">
        <v>975</v>
      </c>
    </row>
    <row r="22" spans="2:3" x14ac:dyDescent="0.2">
      <c r="C22" s="123">
        <v>2.8</v>
      </c>
    </row>
    <row r="23" spans="2:3" x14ac:dyDescent="0.2">
      <c r="C23" s="123">
        <v>4.0999999999999996</v>
      </c>
    </row>
    <row r="24" spans="2:3" x14ac:dyDescent="0.2">
      <c r="C24" s="123">
        <v>2.06</v>
      </c>
    </row>
    <row r="25" spans="2:3" x14ac:dyDescent="0.2">
      <c r="C25" s="123">
        <v>2.0699999999999998</v>
      </c>
    </row>
    <row r="26" spans="2:3" x14ac:dyDescent="0.2">
      <c r="C26" s="123">
        <v>2.0499999999999998</v>
      </c>
    </row>
    <row r="27" spans="2:3" x14ac:dyDescent="0.2">
      <c r="C27" s="123">
        <v>2.78</v>
      </c>
    </row>
    <row r="28" spans="2:3" x14ac:dyDescent="0.2">
      <c r="C28" s="123">
        <v>2.06</v>
      </c>
    </row>
    <row r="29" spans="2:3" x14ac:dyDescent="0.2">
      <c r="C29" s="123">
        <v>2.09</v>
      </c>
    </row>
    <row r="30" spans="2:3" x14ac:dyDescent="0.2">
      <c r="C30" s="123">
        <v>23.4</v>
      </c>
    </row>
    <row r="31" spans="2:3" x14ac:dyDescent="0.2">
      <c r="C31" s="123">
        <v>8</v>
      </c>
    </row>
    <row r="32" spans="2:3" x14ac:dyDescent="0.2">
      <c r="C32" s="123">
        <v>10.78</v>
      </c>
    </row>
    <row r="34" spans="2:3" x14ac:dyDescent="0.2">
      <c r="B34" t="s">
        <v>988</v>
      </c>
    </row>
    <row r="35" spans="2:3" x14ac:dyDescent="0.2">
      <c r="C35" s="123">
        <v>12.93</v>
      </c>
    </row>
    <row r="36" spans="2:3" x14ac:dyDescent="0.2">
      <c r="C36" s="123">
        <v>1.23</v>
      </c>
    </row>
    <row r="37" spans="2:3" x14ac:dyDescent="0.2">
      <c r="C37" s="123">
        <v>2.4</v>
      </c>
    </row>
    <row r="38" spans="2:3" x14ac:dyDescent="0.2">
      <c r="C38" s="123">
        <v>7</v>
      </c>
    </row>
    <row r="39" spans="2:3" x14ac:dyDescent="0.2">
      <c r="B39" t="s">
        <v>991</v>
      </c>
    </row>
    <row r="40" spans="2:3" x14ac:dyDescent="0.2">
      <c r="C40" s="123">
        <f>1.17*0.2</f>
        <v>0.23399999999999999</v>
      </c>
    </row>
    <row r="41" spans="2:3" x14ac:dyDescent="0.2">
      <c r="C41" s="123">
        <f>7*0.3</f>
        <v>2.1</v>
      </c>
    </row>
    <row r="42" spans="2:3" x14ac:dyDescent="0.2">
      <c r="C42" s="123">
        <f>6.45*0.6</f>
        <v>3.87</v>
      </c>
    </row>
    <row r="43" spans="2:3" x14ac:dyDescent="0.2">
      <c r="C43" s="123">
        <f>12.66*0.85</f>
        <v>10.760999999999999</v>
      </c>
    </row>
    <row r="44" spans="2:3" x14ac:dyDescent="0.2">
      <c r="C44" s="123">
        <f>3.27*1.1</f>
        <v>3.5970000000000004</v>
      </c>
    </row>
    <row r="46" spans="2:3" x14ac:dyDescent="0.2">
      <c r="B46" t="s">
        <v>995</v>
      </c>
    </row>
    <row r="47" spans="2:3" x14ac:dyDescent="0.2">
      <c r="C47" s="123">
        <f>6.41*0.3</f>
        <v>1.923</v>
      </c>
    </row>
    <row r="48" spans="2:3" x14ac:dyDescent="0.2">
      <c r="C48" s="123">
        <f>3.92*0.3</f>
        <v>1.1759999999999999</v>
      </c>
    </row>
    <row r="49" spans="3:3" x14ac:dyDescent="0.2">
      <c r="C49" s="123">
        <f>7.32*0.6</f>
        <v>4.3920000000000003</v>
      </c>
    </row>
    <row r="50" spans="3:3" x14ac:dyDescent="0.2">
      <c r="C50" s="123">
        <f>2.56*1</f>
        <v>2.56</v>
      </c>
    </row>
  </sheetData>
  <pageMargins left="0.511811024" right="0.511811024" top="0.78740157499999996" bottom="0.78740157499999996" header="0.31496062000000002" footer="0.31496062000000002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MEMÓRIA</vt:lpstr>
      <vt:lpstr>ORÇAMENTO</vt:lpstr>
      <vt:lpstr>CRONO</vt:lpstr>
      <vt:lpstr>composições</vt:lpstr>
      <vt:lpstr>BDI</vt:lpstr>
      <vt:lpstr>QUADRO DE ÁREAS</vt:lpstr>
      <vt:lpstr>aux.</vt:lpstr>
      <vt:lpstr>CRONO!Titulos_de_impressao</vt:lpstr>
      <vt:lpstr>MEMÓRIA!Titulos_de_impressao</vt:lpstr>
      <vt:lpstr>ORÇAMENTO!Titulos_de_impressao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Wilton Carvalho de Macedo</dc:creator>
  <cp:lastModifiedBy>Arianny</cp:lastModifiedBy>
  <cp:lastPrinted>2026-04-24T13:11:49Z</cp:lastPrinted>
  <dcterms:created xsi:type="dcterms:W3CDTF">2023-01-27T11:35:02Z</dcterms:created>
  <dcterms:modified xsi:type="dcterms:W3CDTF">2026-07-11T00:23:41Z</dcterms:modified>
</cp:coreProperties>
</file>